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ani\OneDrive\Avening PC\Finance\"/>
    </mc:Choice>
  </mc:AlternateContent>
  <xr:revisionPtr revIDLastSave="362" documentId="8_{CBB2E909-FC97-4CF7-862E-A12E5076BEF0}" xr6:coauthVersionLast="43" xr6:coauthVersionMax="43" xr10:uidLastSave="{589C9308-6D8A-40D2-9781-538F84EA169A}"/>
  <bookViews>
    <workbookView xWindow="810" yWindow="-120" windowWidth="19800" windowHeight="11760" activeTab="1" xr2:uid="{00000000-000D-0000-FFFF-FFFF00000000}"/>
  </bookViews>
  <sheets>
    <sheet name="Budget" sheetId="12" r:id="rId1"/>
    <sheet name="PC Assets" sheetId="9" r:id="rId2"/>
    <sheet name="Cashbook" sheetId="8" r:id="rId3"/>
    <sheet name="Report" sheetId="5" r:id="rId4"/>
  </sheets>
  <definedNames>
    <definedName name="_xlnm._FilterDatabase" localSheetId="2" hidden="1">Cashbook!$B$5:$K$157</definedName>
    <definedName name="Budget_Lines">Cashbook!$P$8:$P$15</definedName>
    <definedName name="_xlnm.Print_Area" localSheetId="0">Budget!$C$1:$L$75</definedName>
    <definedName name="_xlnm.Print_Area" localSheetId="2">Cashbook!$B$1:$H$167</definedName>
    <definedName name="_xlnm.Print_Area" localSheetId="3">Report!$A$1:$N$40</definedName>
    <definedName name="_xlnm.Print_Titles" localSheetId="2">Cashbook!$5:$5</definedName>
    <definedName name="Sub_categories">Cashbook!$P$18:$P$32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6" i="8" l="1"/>
  <c r="F155" i="8"/>
  <c r="F160" i="8" s="1"/>
  <c r="I133" i="8" l="1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6" i="8"/>
  <c r="I157" i="8"/>
  <c r="J10" i="12" l="1"/>
  <c r="L6" i="5" l="1"/>
  <c r="L5" i="5"/>
  <c r="B24" i="5"/>
  <c r="B23" i="5"/>
  <c r="B22" i="5"/>
  <c r="B21" i="5"/>
  <c r="B19" i="5"/>
  <c r="B20" i="5"/>
  <c r="J5" i="12" l="1"/>
  <c r="J44" i="12"/>
  <c r="D22" i="5" s="1"/>
  <c r="J43" i="12"/>
  <c r="J24" i="12"/>
  <c r="D20" i="5" s="1"/>
  <c r="D19" i="5"/>
  <c r="D28" i="5" l="1"/>
  <c r="M8" i="5" s="1"/>
  <c r="G155" i="8"/>
  <c r="N8" i="5" l="1"/>
  <c r="J65" i="12" l="1"/>
  <c r="J64" i="12"/>
  <c r="M5" i="5" s="1"/>
  <c r="J68" i="12"/>
  <c r="J53" i="12"/>
  <c r="J52" i="12"/>
  <c r="J42" i="12"/>
  <c r="J9" i="12"/>
  <c r="H155" i="8"/>
  <c r="K67" i="12" l="1"/>
  <c r="I155" i="8"/>
  <c r="N5" i="5"/>
  <c r="L168" i="8"/>
  <c r="L169" i="8" s="1"/>
  <c r="C25" i="5"/>
  <c r="B25" i="5"/>
  <c r="J67" i="12"/>
  <c r="M7" i="5" s="1"/>
  <c r="N7" i="5" s="1"/>
  <c r="J66" i="12"/>
  <c r="M6" i="5" s="1"/>
  <c r="N6" i="5" s="1"/>
  <c r="J6" i="12"/>
  <c r="J7" i="12"/>
  <c r="J22" i="12"/>
  <c r="M9" i="5" l="1"/>
  <c r="J23" i="12"/>
  <c r="J8" i="12" l="1"/>
  <c r="K30" i="12" l="1"/>
  <c r="E74" i="12"/>
  <c r="F74" i="12"/>
  <c r="G74" i="12"/>
  <c r="H69" i="12"/>
  <c r="E69" i="12"/>
  <c r="F69" i="12"/>
  <c r="G69" i="12"/>
  <c r="G75" i="12" s="1"/>
  <c r="F75" i="12" l="1"/>
  <c r="E75" i="12"/>
  <c r="J51" i="12"/>
  <c r="D25" i="12"/>
  <c r="E25" i="12"/>
  <c r="F25" i="12"/>
  <c r="G25" i="12"/>
  <c r="H25" i="12"/>
  <c r="K25" i="12"/>
  <c r="D58" i="12"/>
  <c r="E58" i="12"/>
  <c r="F58" i="12"/>
  <c r="G58" i="12"/>
  <c r="H58" i="12"/>
  <c r="K58" i="12"/>
  <c r="J57" i="12" l="1"/>
  <c r="J56" i="12"/>
  <c r="J50" i="12"/>
  <c r="J49" i="12"/>
  <c r="J48" i="12"/>
  <c r="J47" i="12"/>
  <c r="J41" i="12"/>
  <c r="J40" i="12"/>
  <c r="J39" i="12"/>
  <c r="J38" i="12"/>
  <c r="J37" i="12"/>
  <c r="J36" i="12"/>
  <c r="J35" i="12"/>
  <c r="J34" i="12"/>
  <c r="J33" i="12"/>
  <c r="J32" i="12"/>
  <c r="J29" i="12"/>
  <c r="J28" i="12"/>
  <c r="J27" i="12"/>
  <c r="J21" i="12"/>
  <c r="J20" i="12"/>
  <c r="J19" i="12"/>
  <c r="J18" i="12"/>
  <c r="J17" i="12"/>
  <c r="J16" i="12"/>
  <c r="J15" i="12"/>
  <c r="J13" i="12"/>
  <c r="J4" i="12"/>
  <c r="C22" i="5" l="1"/>
  <c r="J11" i="12"/>
  <c r="F19" i="5" s="1"/>
  <c r="G19" i="5" s="1"/>
  <c r="C19" i="5"/>
  <c r="J25" i="12"/>
  <c r="F20" i="5" s="1"/>
  <c r="G20" i="5" s="1"/>
  <c r="C20" i="5"/>
  <c r="C21" i="5"/>
  <c r="C23" i="5"/>
  <c r="C24" i="5"/>
  <c r="J58" i="12"/>
  <c r="F24" i="5" s="1"/>
  <c r="G24" i="5" s="1"/>
  <c r="J69" i="12"/>
  <c r="J30" i="12"/>
  <c r="F21" i="5" s="1"/>
  <c r="G21" i="5" s="1"/>
  <c r="H74" i="12"/>
  <c r="K54" i="12"/>
  <c r="J54" i="12"/>
  <c r="F23" i="5" s="1"/>
  <c r="G23" i="5" s="1"/>
  <c r="H54" i="12"/>
  <c r="G54" i="12"/>
  <c r="F54" i="12"/>
  <c r="E54" i="12"/>
  <c r="D54" i="12"/>
  <c r="K45" i="12"/>
  <c r="J45" i="12"/>
  <c r="F22" i="5" s="1"/>
  <c r="G22" i="5" s="1"/>
  <c r="H45" i="12"/>
  <c r="G45" i="12"/>
  <c r="F45" i="12"/>
  <c r="E45" i="12"/>
  <c r="D45" i="12"/>
  <c r="H30" i="12"/>
  <c r="G30" i="12"/>
  <c r="F30" i="12"/>
  <c r="E30" i="12"/>
  <c r="D30" i="12"/>
  <c r="K11" i="12"/>
  <c r="H11" i="12"/>
  <c r="G11" i="12"/>
  <c r="F11" i="12"/>
  <c r="E11" i="12"/>
  <c r="D11" i="12"/>
  <c r="H75" i="12" l="1"/>
  <c r="D60" i="12"/>
  <c r="E60" i="12"/>
  <c r="H60" i="12"/>
  <c r="F60" i="12"/>
  <c r="K60" i="12"/>
  <c r="G60" i="12"/>
  <c r="F25" i="5" l="1"/>
  <c r="G25" i="5" s="1"/>
  <c r="J59" i="12"/>
  <c r="J60" i="12" s="1"/>
  <c r="J72" i="12" l="1"/>
  <c r="J74" i="12" s="1"/>
  <c r="D15" i="5"/>
  <c r="E32" i="9"/>
  <c r="D32" i="9"/>
  <c r="C32" i="9"/>
  <c r="B32" i="9"/>
  <c r="P163" i="8"/>
  <c r="P165" i="8" s="1"/>
  <c r="P167" i="8" s="1"/>
  <c r="I7" i="5"/>
  <c r="I9" i="5" s="1"/>
  <c r="B28" i="5"/>
  <c r="L9" i="5"/>
  <c r="C28" i="5"/>
  <c r="J75" i="12" l="1"/>
  <c r="K63" i="12"/>
  <c r="K69" i="12" s="1"/>
  <c r="I10" i="5"/>
  <c r="K70" i="12" l="1"/>
  <c r="K74" i="12" s="1"/>
  <c r="K75" i="12" s="1"/>
  <c r="G28" i="5"/>
  <c r="F28" i="5"/>
  <c r="N9" i="5" l="1"/>
  <c r="F161" i="8" l="1"/>
  <c r="F163" i="8" s="1"/>
  <c r="I11" i="5"/>
  <c r="I13" i="5" s="1"/>
  <c r="P169" i="8" l="1"/>
</calcChain>
</file>

<file path=xl/sharedStrings.xml><?xml version="1.0" encoding="utf-8"?>
<sst xmlns="http://schemas.openxmlformats.org/spreadsheetml/2006/main" count="462" uniqueCount="290">
  <si>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</si>
  <si>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</si>
  <si>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</si>
  <si>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</si>
  <si>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</si>
  <si>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</si>
  <si>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</si>
  <si>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</si>
  <si>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</si>
  <si>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</si>
  <si>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</si>
  <si>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</si>
  <si>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</si>
  <si>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</si>
  <si>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</si>
  <si>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</si>
  <si>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</si>
  <si>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</si>
  <si>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</si>
  <si>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</si>
  <si>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</si>
  <si>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</si>
  <si>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</si>
  <si>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Meeting Room Hire</t>
  </si>
  <si>
    <t>Website</t>
  </si>
  <si>
    <t>Audit</t>
  </si>
  <si>
    <t>Reserves</t>
  </si>
  <si>
    <t>Amount</t>
  </si>
  <si>
    <t>Details</t>
  </si>
  <si>
    <t>Budget Heads</t>
  </si>
  <si>
    <t>Spend breakdown</t>
  </si>
  <si>
    <t>Spend YTD</t>
  </si>
  <si>
    <t>Comment</t>
  </si>
  <si>
    <t>Bank Reconciliation</t>
  </si>
  <si>
    <t>Total receipts</t>
  </si>
  <si>
    <t>Cheques issued not presented</t>
  </si>
  <si>
    <t>Closing balance</t>
  </si>
  <si>
    <t>Avening Parish Council Monthly Report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</si>
  <si>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</si>
  <si>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</si>
  <si>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</si>
  <si>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</si>
  <si>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</si>
  <si>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</si>
  <si>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</si>
  <si>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</si>
  <si>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</si>
  <si>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</si>
  <si>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>Bal b/fwd</t>
  </si>
  <si>
    <t>Sub totals</t>
  </si>
  <si>
    <t>Business 30 Day Notice</t>
  </si>
  <si>
    <t>Bal c/fwd</t>
  </si>
  <si>
    <t>Treasurer Account</t>
  </si>
  <si>
    <t>High Interest Deposit Account</t>
  </si>
  <si>
    <t>Less Payments</t>
  </si>
  <si>
    <t>Less Unpresented Cheques</t>
  </si>
  <si>
    <t>Closing Balance</t>
  </si>
  <si>
    <t>Unique Ref No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</si>
  <si>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</si>
  <si>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</si>
  <si>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</si>
  <si>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</si>
  <si>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</si>
  <si>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</si>
  <si>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</si>
  <si>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</si>
  <si>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</si>
  <si>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</si>
  <si>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</si>
  <si>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</si>
  <si>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</si>
  <si>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</si>
  <si>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</si>
  <si>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</si>
  <si>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</si>
  <si>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</si>
  <si>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</si>
  <si>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</si>
  <si>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</si>
  <si>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</si>
  <si>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 xml:space="preserve">C/F 1 April </t>
  </si>
  <si>
    <t>VAT Refund</t>
  </si>
  <si>
    <t>TOTAL RESERVES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</si>
  <si>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</si>
  <si>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</si>
  <si>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</si>
  <si>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</si>
  <si>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</si>
  <si>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</si>
  <si>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 xml:space="preserve">Avening Parish Council </t>
  </si>
  <si>
    <t>Community Fund</t>
  </si>
  <si>
    <t>Audit &amp; Legal</t>
  </si>
  <si>
    <t>Balance</t>
  </si>
  <si>
    <t>Difference</t>
  </si>
  <si>
    <t>Opening Balance at the Bank</t>
  </si>
  <si>
    <t>CLOSING BALANCES:</t>
  </si>
  <si>
    <t>Plus Unpresented Receipts</t>
  </si>
  <si>
    <t>Less Unpresented Cheques  (Bold)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</si>
  <si>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</si>
  <si>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</si>
  <si>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</si>
  <si>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</si>
  <si>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</si>
  <si>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</si>
  <si>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</si>
  <si>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</si>
  <si>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</si>
  <si>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</si>
  <si>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</si>
  <si>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Village Waterways</t>
  </si>
  <si>
    <t>Volunteer of the Year</t>
  </si>
  <si>
    <t>Defibrilator</t>
  </si>
  <si>
    <t>Avening History Group</t>
  </si>
  <si>
    <t>Project Manager</t>
  </si>
  <si>
    <t xml:space="preserve">Maintenance </t>
  </si>
  <si>
    <t>Water Pumps</t>
  </si>
  <si>
    <t xml:space="preserve"> Legal fees</t>
  </si>
  <si>
    <t>2013 - 2014</t>
  </si>
  <si>
    <t>2014 - 15</t>
  </si>
  <si>
    <t>2015 - 2016</t>
  </si>
  <si>
    <t>Parish Award</t>
  </si>
  <si>
    <t>Notice boards</t>
  </si>
  <si>
    <t>Phone boxes</t>
  </si>
  <si>
    <t>Bus shelter</t>
  </si>
  <si>
    <t>General maintainance</t>
  </si>
  <si>
    <t>Printing</t>
  </si>
  <si>
    <t xml:space="preserve">Refreshments for Meetings </t>
  </si>
  <si>
    <t>Chairman</t>
  </si>
  <si>
    <t>Not for Wreath or refreshments. Use enitrely at Chairman's descretion</t>
  </si>
  <si>
    <t>Unutilised but may require when records cupboard is clerared.</t>
  </si>
  <si>
    <t>Other reserves</t>
  </si>
  <si>
    <t>Budget 2016 - 17</t>
  </si>
  <si>
    <t>Payments for approval</t>
  </si>
  <si>
    <t xml:space="preserve">Notes:
</t>
  </si>
  <si>
    <t>Budget 2017-18</t>
  </si>
  <si>
    <t>2016-17</t>
  </si>
  <si>
    <t>2017-18</t>
  </si>
  <si>
    <t>Playing Field Upgrade</t>
  </si>
  <si>
    <t>3600.00 per year April 2017 - March 2020</t>
  </si>
  <si>
    <t>Hall insurance £837.11 paid Nov 2016 (year 2 of 5 year agreement) Council Insurance £409.39 paid May 2017 year 1 of 3 year agreement</t>
  </si>
  <si>
    <t>Treasurer Account A/C</t>
  </si>
  <si>
    <t>Budget 2018-19</t>
  </si>
  <si>
    <t>Grants &amp; General</t>
  </si>
  <si>
    <t>Village Hall - general maintenance</t>
  </si>
  <si>
    <t>2018-19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</si>
  <si>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</si>
  <si>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</si>
  <si>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</si>
  <si>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</si>
  <si>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</si>
  <si>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</si>
  <si>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</si>
  <si>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</si>
  <si>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Other maintenance</t>
  </si>
  <si>
    <t>Includes broadband line for the hall</t>
  </si>
  <si>
    <t>Budget header</t>
  </si>
  <si>
    <t>GPFA</t>
  </si>
  <si>
    <t>Other grants/receipts</t>
  </si>
  <si>
    <t>Reserves*</t>
  </si>
  <si>
    <t>Small Projects</t>
  </si>
  <si>
    <t>Small projects</t>
  </si>
  <si>
    <t>Glos Playing Fields Assn</t>
  </si>
  <si>
    <t>Maintenance of existing unit moved to Maintenance</t>
  </si>
  <si>
    <t>e.g. defib batteries/pads</t>
  </si>
  <si>
    <t>Total credits</t>
  </si>
  <si>
    <t>Villager magazine</t>
  </si>
  <si>
    <t>Villager Magazine</t>
  </si>
  <si>
    <t>Church</t>
  </si>
  <si>
    <t>included in payroll</t>
  </si>
  <si>
    <t xml:space="preserve">Total credit available </t>
  </si>
  <si>
    <t>VAT paid (to be reclaimed)</t>
  </si>
  <si>
    <t>Total payments (incl. VAT)</t>
  </si>
  <si>
    <t>Net amount</t>
  </si>
  <si>
    <t>Budget 2019-20</t>
  </si>
  <si>
    <t>Playing field Moved to projects for 2018/19</t>
  </si>
  <si>
    <t>Business a/c</t>
  </si>
  <si>
    <t>Plusnet</t>
  </si>
  <si>
    <t>DD</t>
  </si>
  <si>
    <t>Running Costs</t>
  </si>
  <si>
    <t>R1</t>
  </si>
  <si>
    <t>BACS</t>
  </si>
  <si>
    <t>Other (VAT)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</si>
  <si>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</si>
  <si>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</si>
  <si>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</si>
  <si>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</si>
  <si>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</si>
  <si>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</si>
  <si>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</si>
  <si>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</si>
  <si>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</si>
  <si>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</si>
  <si>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</si>
  <si>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</si>
  <si>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</si>
  <si>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</si>
  <si>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R3</t>
  </si>
  <si>
    <t>R2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</si>
  <si>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</si>
  <si>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</si>
  <si>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</si>
  <si>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</si>
  <si>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</si>
  <si>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</si>
  <si>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</si>
  <si>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</si>
  <si>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</si>
  <si>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R4</t>
  </si>
  <si>
    <t>Balance validation (VAT)</t>
  </si>
  <si>
    <t>Stroud Print</t>
  </si>
  <si>
    <t>Credits/donations</t>
  </si>
  <si>
    <t>Memorial Hall roof</t>
  </si>
  <si>
    <t>Credits/Donations</t>
  </si>
  <si>
    <t>Grants for WW1 &amp; Pig Face</t>
  </si>
  <si>
    <t>Village events</t>
  </si>
  <si>
    <t>Includes Poppy Wreath and donation; requests from local organisations. Walks leaflets</t>
  </si>
  <si>
    <t>To include village events, Villager of the year, general village events &amp; Christmas tree</t>
  </si>
  <si>
    <t>Included in general grants</t>
  </si>
  <si>
    <t>Village Hall upgrade/ maintenance</t>
  </si>
  <si>
    <t>Due to be repainted?</t>
  </si>
  <si>
    <t>Final finishes</t>
  </si>
  <si>
    <t>New clerk &amp; councillors after elections</t>
  </si>
  <si>
    <t>for PC only - Youth Club is in community fund</t>
  </si>
  <si>
    <t>Credits less reserves</t>
  </si>
  <si>
    <t>Village Events</t>
  </si>
  <si>
    <t>General Reserves / Unspent</t>
  </si>
  <si>
    <t>Annual spend totals</t>
  </si>
  <si>
    <t>Actuals 2018/19</t>
  </si>
  <si>
    <t>with increase of 5%</t>
  </si>
  <si>
    <t>Estimated c/fwd - Dependent upon balance at the end of the year</t>
  </si>
  <si>
    <t>Previous budgeted credit total less actual expendiature = estimated reserves</t>
  </si>
  <si>
    <t>RECEIPTS</t>
  </si>
  <si>
    <t>Net Spend YTD</t>
  </si>
  <si>
    <t>Grants etc</t>
  </si>
  <si>
    <t>*Clerk to complete</t>
  </si>
  <si>
    <t>Taken from Cashbook - VAT paid</t>
  </si>
  <si>
    <t>Potential reserves</t>
  </si>
  <si>
    <t>Reserves - Credits less budgetd spend</t>
  </si>
  <si>
    <t>Dependent on public consultation</t>
  </si>
  <si>
    <t>general maintenance only - Roof appeal in Projects</t>
  </si>
  <si>
    <t>£560 rin-fenced. Additional 2018/19 costs in website section</t>
  </si>
  <si>
    <t xml:space="preserve"> </t>
  </si>
  <si>
    <t>Mainpoint</t>
  </si>
  <si>
    <t>P1</t>
  </si>
  <si>
    <t>Total Payment</t>
  </si>
  <si>
    <t>Credits</t>
  </si>
  <si>
    <t>AVENING PARISH COUNCIL - CASH BOOK 2019/2020</t>
  </si>
  <si>
    <t>01.04.19</t>
  </si>
  <si>
    <t>Hayes Parsons Insurance</t>
  </si>
  <si>
    <t>09.04.19</t>
  </si>
  <si>
    <t>17.04.19</t>
  </si>
  <si>
    <t>23.04.19</t>
  </si>
  <si>
    <t>Avening Memorial Hall Y/Club Hire</t>
  </si>
  <si>
    <t>Ipp John Collinson</t>
  </si>
  <si>
    <t>Clerk Salary</t>
  </si>
  <si>
    <t>Avening Villager Magazine</t>
  </si>
  <si>
    <t>24.04.19</t>
  </si>
  <si>
    <t>Gary Dowdeswell</t>
  </si>
  <si>
    <t>Parish Online</t>
  </si>
  <si>
    <t>Came &amp; Co Insurance</t>
  </si>
  <si>
    <t>Amberol</t>
  </si>
  <si>
    <t>25.04.19</t>
  </si>
  <si>
    <t>07.05.19</t>
  </si>
  <si>
    <t>Air Ambulance</t>
  </si>
  <si>
    <t>09.05.19</t>
  </si>
  <si>
    <t>17.05.19</t>
  </si>
  <si>
    <t>G. Brookes Avendale Maint</t>
  </si>
  <si>
    <t>Christine Howells</t>
  </si>
  <si>
    <t>RP King</t>
  </si>
  <si>
    <t>Rospa Play Safety</t>
  </si>
  <si>
    <t>20.05.19</t>
  </si>
  <si>
    <t>Bouncy Castles</t>
  </si>
  <si>
    <t>23.05.19</t>
  </si>
  <si>
    <t>Topuptents Bate-Williams</t>
  </si>
  <si>
    <t>Dj &amp; A Bendall</t>
  </si>
  <si>
    <t>30.05.19</t>
  </si>
  <si>
    <t>Memorial Hall Roof Donation</t>
  </si>
  <si>
    <t>Woodchester Snacks</t>
  </si>
  <si>
    <t>Woodchester Snacks (Paid 30.05.19)</t>
  </si>
  <si>
    <t>Amberley &amp; Bisley Bouncy Castles (Paid 20.05.19)</t>
  </si>
  <si>
    <t>Topuptents (Paid 21.05.19)</t>
  </si>
  <si>
    <t>SLCC Mebership</t>
  </si>
  <si>
    <t>Slater4 Ltd (Event Expenses)</t>
  </si>
  <si>
    <t>Slater4 Ltd (Web Hosting)</t>
  </si>
  <si>
    <t>Tetbury Town Council ( New Cllr Course)</t>
  </si>
  <si>
    <t>D Bendall (paid 30.05.19)</t>
  </si>
  <si>
    <t>John Collinson IPP</t>
  </si>
  <si>
    <t>Clerk Salary &amp; Expenses</t>
  </si>
  <si>
    <t>J-Bookeepers</t>
  </si>
  <si>
    <t>31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</si>
</sst>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  <numFmt numFmtId="170" formatCode="d\.m\.yy;@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1" fillId="0" borderId="0"/>
  </cellStyleXfs>
  <cellXfs count="349">
    <xf numFmtId="0" fontId="0" fillId="0" borderId="0" xfId="0"/>
    <xf numFmtId="164" fontId="0" fillId="0" borderId="0" xfId="0" applyNumberFormat="1"/>
    <xf numFmtId="165" fontId="3" fillId="2" borderId="0" xfId="0" applyNumberFormat="1" applyFont="1" applyFill="1"/>
    <xf numFmtId="14" fontId="0" fillId="0" borderId="0" xfId="0" applyNumberFormat="1"/>
    <xf numFmtId="4" fontId="0" fillId="0" borderId="0" xfId="0" applyNumberFormat="1"/>
    <xf numFmtId="0" fontId="3" fillId="3" borderId="4" xfId="0" applyFont="1" applyFill="1" applyBorder="1"/>
    <xf numFmtId="0" fontId="7" fillId="0" borderId="0" xfId="0" applyFont="1"/>
    <xf numFmtId="49" fontId="3" fillId="0" borderId="0" xfId="0" applyNumberFormat="1" applyFont="1"/>
    <xf numFmtId="0" fontId="9" fillId="0" borderId="0" xfId="0" applyFont="1"/>
    <xf numFmtId="0" fontId="9" fillId="0" borderId="0" xfId="0" applyFont="1" applyAlignment="1">
      <alignment wrapText="1"/>
    </xf>
    <xf numFmtId="0" fontId="3" fillId="10" borderId="1" xfId="0" applyFont="1" applyFill="1" applyBorder="1" applyAlignment="1">
      <alignment wrapText="1"/>
    </xf>
    <xf numFmtId="2" fontId="0" fillId="0" borderId="0" xfId="0" applyNumberFormat="1"/>
    <xf numFmtId="0" fontId="2" fillId="0" borderId="0" xfId="0" applyFont="1"/>
    <xf numFmtId="169" fontId="9" fillId="0" borderId="0" xfId="1" applyNumberFormat="1" applyFont="1"/>
    <xf numFmtId="1" fontId="9" fillId="0" borderId="0" xfId="1" applyNumberFormat="1" applyFont="1"/>
    <xf numFmtId="169" fontId="11" fillId="0" borderId="21" xfId="1" applyNumberFormat="1" applyFont="1" applyBorder="1"/>
    <xf numFmtId="0" fontId="10" fillId="0" borderId="0" xfId="0" applyFont="1"/>
    <xf numFmtId="0" fontId="9" fillId="0" borderId="0" xfId="0" applyFont="1" applyAlignment="1">
      <alignment vertical="top" wrapText="1"/>
    </xf>
    <xf numFmtId="169" fontId="9" fillId="0" borderId="0" xfId="1" applyNumberFormat="1" applyFont="1" applyAlignment="1">
      <alignment vertical="top"/>
    </xf>
    <xf numFmtId="14" fontId="3" fillId="1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" fontId="12" fillId="0" borderId="0" xfId="6" applyNumberFormat="1" applyFont="1"/>
    <xf numFmtId="0" fontId="15" fillId="0" borderId="0" xfId="0" applyFont="1" applyAlignment="1">
      <alignment vertical="top" wrapText="1"/>
    </xf>
    <xf numFmtId="0" fontId="14" fillId="0" borderId="1" xfId="0" applyFont="1" applyBorder="1"/>
    <xf numFmtId="4" fontId="12" fillId="0" borderId="0" xfId="0" applyNumberFormat="1" applyFont="1"/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1" applyNumberFormat="1" applyFont="1" applyBorder="1"/>
    <xf numFmtId="4" fontId="12" fillId="0" borderId="0" xfId="1" applyNumberFormat="1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14" fillId="0" borderId="1" xfId="0" applyNumberFormat="1" applyFont="1" applyBorder="1"/>
    <xf numFmtId="0" fontId="17" fillId="0" borderId="0" xfId="0" applyFont="1" applyAlignment="1">
      <alignment vertical="top" wrapText="1"/>
    </xf>
    <xf numFmtId="0" fontId="13" fillId="0" borderId="6" xfId="0" applyFont="1" applyBorder="1"/>
    <xf numFmtId="0" fontId="13" fillId="0" borderId="7" xfId="0" applyFont="1" applyBorder="1"/>
    <xf numFmtId="4" fontId="14" fillId="0" borderId="0" xfId="1" applyNumberFormat="1" applyFont="1"/>
    <xf numFmtId="0" fontId="18" fillId="0" borderId="0" xfId="0" applyFont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1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 textRotation="90" wrapText="1"/>
    </xf>
    <xf numFmtId="0" fontId="22" fillId="0" borderId="0" xfId="7" applyFont="1" applyAlignment="1">
      <alignment horizontal="center" vertical="center"/>
    </xf>
    <xf numFmtId="0" fontId="21" fillId="0" borderId="0" xfId="7" applyFont="1" applyAlignment="1">
      <alignment horizontal="center" wrapText="1"/>
    </xf>
    <xf numFmtId="0" fontId="21" fillId="0" borderId="0" xfId="7" applyFont="1" applyAlignment="1">
      <alignment horizontal="center"/>
    </xf>
    <xf numFmtId="0" fontId="22" fillId="0" borderId="0" xfId="7" applyFont="1" applyAlignment="1">
      <alignment horizontal="center"/>
    </xf>
    <xf numFmtId="0" fontId="23" fillId="0" borderId="0" xfId="0" applyFont="1"/>
    <xf numFmtId="0" fontId="22" fillId="0" borderId="0" xfId="7" applyFont="1" applyAlignment="1">
      <alignment wrapText="1"/>
    </xf>
    <xf numFmtId="0" fontId="24" fillId="16" borderId="0" xfId="7" applyFont="1" applyFill="1" applyAlignment="1">
      <alignment horizontal="center" vertical="center" wrapText="1"/>
    </xf>
    <xf numFmtId="0" fontId="21" fillId="17" borderId="0" xfId="7" applyFont="1" applyFill="1" applyAlignment="1">
      <alignment horizontal="center" vertical="center" wrapText="1"/>
    </xf>
    <xf numFmtId="0" fontId="24" fillId="16" borderId="0" xfId="7" applyFont="1" applyFill="1" applyAlignment="1">
      <alignment horizontal="center" vertical="center"/>
    </xf>
    <xf numFmtId="169" fontId="22" fillId="0" borderId="23" xfId="1" applyNumberFormat="1" applyFont="1" applyBorder="1" applyAlignment="1">
      <alignment vertical="top"/>
    </xf>
    <xf numFmtId="0" fontId="23" fillId="0" borderId="0" xfId="7" applyFont="1" applyAlignment="1">
      <alignment horizontal="left"/>
    </xf>
    <xf numFmtId="0" fontId="21" fillId="0" borderId="0" xfId="7" applyFont="1"/>
    <xf numFmtId="0" fontId="22" fillId="0" borderId="0" xfId="7" applyFont="1"/>
    <xf numFmtId="0" fontId="22" fillId="0" borderId="0" xfId="7" applyFont="1" applyAlignment="1">
      <alignment vertical="top"/>
    </xf>
    <xf numFmtId="3" fontId="22" fillId="0" borderId="23" xfId="7" applyNumberFormat="1" applyFont="1" applyBorder="1" applyAlignment="1">
      <alignment vertical="top"/>
    </xf>
    <xf numFmtId="169" fontId="23" fillId="0" borderId="23" xfId="1" applyNumberFormat="1" applyFont="1" applyBorder="1" applyAlignment="1">
      <alignment vertical="top"/>
    </xf>
    <xf numFmtId="0" fontId="23" fillId="0" borderId="23" xfId="7" applyFont="1" applyBorder="1" applyAlignment="1">
      <alignment horizontal="left" vertical="top" wrapText="1"/>
    </xf>
    <xf numFmtId="0" fontId="23" fillId="0" borderId="24" xfId="7" applyFont="1" applyBorder="1" applyAlignment="1">
      <alignment horizontal="right" vertical="top" wrapText="1"/>
    </xf>
    <xf numFmtId="3" fontId="22" fillId="0" borderId="24" xfId="7" applyNumberFormat="1" applyFont="1" applyBorder="1" applyAlignment="1">
      <alignment vertical="top"/>
    </xf>
    <xf numFmtId="169" fontId="22" fillId="0" borderId="24" xfId="1" applyNumberFormat="1" applyFont="1" applyBorder="1" applyAlignment="1">
      <alignment vertical="top"/>
    </xf>
    <xf numFmtId="169" fontId="23" fillId="0" borderId="24" xfId="1" applyNumberFormat="1" applyFont="1" applyBorder="1" applyAlignment="1">
      <alignment vertical="top"/>
    </xf>
    <xf numFmtId="3" fontId="20" fillId="0" borderId="25" xfId="7" applyNumberFormat="1" applyFont="1" applyBorder="1" applyAlignment="1">
      <alignment vertical="top"/>
    </xf>
    <xf numFmtId="3" fontId="20" fillId="0" borderId="23" xfId="7" applyNumberFormat="1" applyFont="1" applyBorder="1" applyAlignment="1">
      <alignment horizontal="left" vertical="top"/>
    </xf>
    <xf numFmtId="0" fontId="21" fillId="11" borderId="0" xfId="7" applyFont="1" applyFill="1" applyAlignment="1">
      <alignment vertical="top"/>
    </xf>
    <xf numFmtId="0" fontId="23" fillId="0" borderId="23" xfId="7" applyFont="1" applyBorder="1" applyAlignment="1">
      <alignment horizontal="right" vertical="top"/>
    </xf>
    <xf numFmtId="0" fontId="20" fillId="0" borderId="23" xfId="7" applyFont="1" applyBorder="1" applyAlignment="1">
      <alignment horizontal="right" vertical="top"/>
    </xf>
    <xf numFmtId="3" fontId="20" fillId="0" borderId="23" xfId="7" applyNumberFormat="1" applyFont="1" applyBorder="1" applyAlignment="1">
      <alignment vertical="top"/>
    </xf>
    <xf numFmtId="0" fontId="20" fillId="19" borderId="23" xfId="7" applyFont="1" applyFill="1" applyBorder="1" applyAlignment="1">
      <alignment horizontal="right" vertical="top"/>
    </xf>
    <xf numFmtId="3" fontId="20" fillId="19" borderId="23" xfId="7" applyNumberFormat="1" applyFont="1" applyFill="1" applyBorder="1" applyAlignment="1">
      <alignment vertical="top"/>
    </xf>
    <xf numFmtId="169" fontId="22" fillId="19" borderId="23" xfId="1" applyNumberFormat="1" applyFont="1" applyFill="1" applyBorder="1" applyAlignment="1">
      <alignment vertical="top"/>
    </xf>
    <xf numFmtId="169" fontId="23" fillId="19" borderId="23" xfId="1" applyNumberFormat="1" applyFont="1" applyFill="1" applyBorder="1" applyAlignment="1">
      <alignment vertical="top"/>
    </xf>
    <xf numFmtId="0" fontId="22" fillId="0" borderId="23" xfId="7" applyFont="1" applyBorder="1" applyAlignment="1">
      <alignment vertical="top"/>
    </xf>
    <xf numFmtId="3" fontId="21" fillId="0" borderId="25" xfId="7" applyNumberFormat="1" applyFont="1" applyBorder="1" applyAlignment="1">
      <alignment vertical="top"/>
    </xf>
    <xf numFmtId="169" fontId="22" fillId="0" borderId="26" xfId="1" applyNumberFormat="1" applyFont="1" applyBorder="1" applyAlignment="1">
      <alignment vertical="top"/>
    </xf>
    <xf numFmtId="169" fontId="23" fillId="0" borderId="26" xfId="1" applyNumberFormat="1" applyFont="1" applyBorder="1" applyAlignment="1">
      <alignment vertical="top"/>
    </xf>
    <xf numFmtId="3" fontId="21" fillId="0" borderId="27" xfId="7" applyNumberFormat="1" applyFont="1" applyBorder="1" applyAlignment="1">
      <alignment vertical="top"/>
    </xf>
    <xf numFmtId="0" fontId="21" fillId="12" borderId="0" xfId="7" applyFont="1" applyFill="1" applyAlignment="1">
      <alignment vertical="top"/>
    </xf>
    <xf numFmtId="0" fontId="20" fillId="0" borderId="25" xfId="7" applyFont="1" applyBorder="1" applyAlignment="1">
      <alignment vertical="top"/>
    </xf>
    <xf numFmtId="169" fontId="22" fillId="0" borderId="25" xfId="1" applyNumberFormat="1" applyFont="1" applyBorder="1" applyAlignment="1">
      <alignment vertical="top"/>
    </xf>
    <xf numFmtId="169" fontId="23" fillId="0" borderId="25" xfId="1" applyNumberFormat="1" applyFont="1" applyBorder="1" applyAlignment="1">
      <alignment vertical="top"/>
    </xf>
    <xf numFmtId="0" fontId="21" fillId="0" borderId="23" xfId="7" applyFont="1" applyBorder="1" applyAlignment="1">
      <alignment vertical="top"/>
    </xf>
    <xf numFmtId="0" fontId="21" fillId="0" borderId="23" xfId="7" applyFont="1" applyBorder="1" applyAlignment="1">
      <alignment horizontal="center" vertical="top"/>
    </xf>
    <xf numFmtId="169" fontId="21" fillId="0" borderId="23" xfId="1" applyNumberFormat="1" applyFont="1" applyBorder="1" applyAlignment="1">
      <alignment vertical="top"/>
    </xf>
    <xf numFmtId="169" fontId="20" fillId="0" borderId="23" xfId="1" applyNumberFormat="1" applyFont="1" applyBorder="1" applyAlignment="1">
      <alignment vertical="top"/>
    </xf>
    <xf numFmtId="169" fontId="22" fillId="0" borderId="23" xfId="1" applyNumberFormat="1" applyFont="1" applyBorder="1" applyAlignment="1">
      <alignment horizontal="right" vertical="top"/>
    </xf>
    <xf numFmtId="41" fontId="22" fillId="0" borderId="23" xfId="7" applyNumberFormat="1" applyFont="1" applyBorder="1" applyAlignment="1">
      <alignment vertical="top"/>
    </xf>
    <xf numFmtId="4" fontId="21" fillId="11" borderId="0" xfId="7" applyNumberFormat="1" applyFont="1" applyFill="1" applyAlignment="1">
      <alignment horizontal="left" vertical="top"/>
    </xf>
    <xf numFmtId="169" fontId="23" fillId="0" borderId="23" xfId="1" applyNumberFormat="1" applyFont="1" applyBorder="1" applyAlignment="1">
      <alignment horizontal="right" vertical="top"/>
    </xf>
    <xf numFmtId="0" fontId="25" fillId="0" borderId="0" xfId="7" applyFont="1" applyAlignment="1">
      <alignment horizontal="right" vertical="top" wrapText="1"/>
    </xf>
    <xf numFmtId="169" fontId="25" fillId="0" borderId="0" xfId="1" applyNumberFormat="1" applyFont="1" applyAlignment="1">
      <alignment horizontal="right" vertical="top"/>
    </xf>
    <xf numFmtId="0" fontId="23" fillId="0" borderId="0" xfId="7" applyFont="1" applyAlignment="1">
      <alignment horizontal="left" vertical="top" wrapText="1"/>
    </xf>
    <xf numFmtId="0" fontId="23" fillId="0" borderId="28" xfId="7" applyFont="1" applyBorder="1" applyAlignment="1">
      <alignment horizontal="right" vertical="top" wrapText="1"/>
    </xf>
    <xf numFmtId="0" fontId="23" fillId="0" borderId="29" xfId="7" applyFont="1" applyBorder="1" applyAlignment="1">
      <alignment horizontal="right" vertical="top" wrapText="1"/>
    </xf>
    <xf numFmtId="0" fontId="22" fillId="0" borderId="28" xfId="7" applyFont="1" applyBorder="1" applyAlignment="1">
      <alignment vertical="top" wrapText="1"/>
    </xf>
    <xf numFmtId="0" fontId="22" fillId="0" borderId="28" xfId="7" applyFont="1" applyBorder="1" applyAlignment="1">
      <alignment horizontal="right" vertical="top" wrapText="1"/>
    </xf>
    <xf numFmtId="0" fontId="22" fillId="0" borderId="29" xfId="7" applyFont="1" applyBorder="1" applyAlignment="1">
      <alignment horizontal="right" vertical="top" wrapText="1"/>
    </xf>
    <xf numFmtId="0" fontId="22" fillId="0" borderId="31" xfId="7" applyFont="1" applyBorder="1" applyAlignment="1">
      <alignment vertical="top" wrapText="1"/>
    </xf>
    <xf numFmtId="0" fontId="21" fillId="0" borderId="32" xfId="7" applyFont="1" applyBorder="1" applyAlignment="1">
      <alignment vertical="top" wrapText="1"/>
    </xf>
    <xf numFmtId="0" fontId="20" fillId="0" borderId="30" xfId="7" applyFont="1" applyBorder="1" applyAlignment="1">
      <alignment vertical="top" wrapText="1"/>
    </xf>
    <xf numFmtId="0" fontId="22" fillId="20" borderId="23" xfId="7" applyFont="1" applyFill="1" applyBorder="1" applyAlignment="1">
      <alignment horizontal="center" vertical="center"/>
    </xf>
    <xf numFmtId="0" fontId="22" fillId="0" borderId="23" xfId="7" applyFont="1" applyBorder="1" applyAlignment="1">
      <alignment horizontal="center" vertical="center"/>
    </xf>
    <xf numFmtId="0" fontId="21" fillId="12" borderId="23" xfId="7" applyFont="1" applyFill="1" applyBorder="1" applyAlignment="1">
      <alignment horizontal="center" vertical="center"/>
    </xf>
    <xf numFmtId="4" fontId="21" fillId="11" borderId="23" xfId="7" applyNumberFormat="1" applyFont="1" applyFill="1" applyBorder="1" applyAlignment="1">
      <alignment horizontal="center" vertical="center"/>
    </xf>
    <xf numFmtId="0" fontId="22" fillId="21" borderId="23" xfId="7" applyFont="1" applyFill="1" applyBorder="1" applyAlignment="1">
      <alignment horizontal="center" vertical="center"/>
    </xf>
    <xf numFmtId="0" fontId="22" fillId="22" borderId="23" xfId="7" applyFont="1" applyFill="1" applyBorder="1" applyAlignment="1">
      <alignment horizontal="center" vertical="center"/>
    </xf>
    <xf numFmtId="0" fontId="21" fillId="22" borderId="23" xfId="7" applyFont="1" applyFill="1" applyBorder="1" applyAlignment="1">
      <alignment horizontal="center" vertical="center"/>
    </xf>
    <xf numFmtId="0" fontId="22" fillId="12" borderId="23" xfId="7" applyFont="1" applyFill="1" applyBorder="1" applyAlignment="1">
      <alignment horizontal="center" vertical="center"/>
    </xf>
    <xf numFmtId="0" fontId="25" fillId="12" borderId="30" xfId="7" applyFont="1" applyFill="1" applyBorder="1" applyAlignment="1">
      <alignment horizontal="right" vertical="top" wrapText="1"/>
    </xf>
    <xf numFmtId="0" fontId="22" fillId="23" borderId="23" xfId="7" applyFont="1" applyFill="1" applyBorder="1" applyAlignment="1">
      <alignment horizontal="center" vertical="center"/>
    </xf>
    <xf numFmtId="0" fontId="25" fillId="23" borderId="30" xfId="7" applyFont="1" applyFill="1" applyBorder="1" applyAlignment="1">
      <alignment horizontal="right" vertical="top" wrapText="1"/>
    </xf>
    <xf numFmtId="0" fontId="22" fillId="24" borderId="23" xfId="7" applyFont="1" applyFill="1" applyBorder="1" applyAlignment="1">
      <alignment horizontal="center" vertical="center"/>
    </xf>
    <xf numFmtId="0" fontId="25" fillId="24" borderId="30" xfId="7" applyFont="1" applyFill="1" applyBorder="1" applyAlignment="1">
      <alignment horizontal="right" vertical="top" wrapText="1"/>
    </xf>
    <xf numFmtId="0" fontId="22" fillId="15" borderId="23" xfId="7" applyFont="1" applyFill="1" applyBorder="1" applyAlignment="1">
      <alignment horizontal="center" vertical="center"/>
    </xf>
    <xf numFmtId="0" fontId="22" fillId="15" borderId="28" xfId="7" applyFont="1" applyFill="1" applyBorder="1" applyAlignment="1">
      <alignment horizontal="right" vertical="top" wrapText="1"/>
    </xf>
    <xf numFmtId="169" fontId="23" fillId="25" borderId="23" xfId="1" applyNumberFormat="1" applyFont="1" applyFill="1" applyBorder="1" applyAlignment="1">
      <alignment vertical="top"/>
    </xf>
    <xf numFmtId="169" fontId="23" fillId="25" borderId="24" xfId="1" applyNumberFormat="1" applyFont="1" applyFill="1" applyBorder="1" applyAlignment="1">
      <alignment vertical="top"/>
    </xf>
    <xf numFmtId="3" fontId="20" fillId="25" borderId="25" xfId="7" applyNumberFormat="1" applyFont="1" applyFill="1" applyBorder="1" applyAlignment="1">
      <alignment vertical="top"/>
    </xf>
    <xf numFmtId="169" fontId="23" fillId="25" borderId="26" xfId="1" applyNumberFormat="1" applyFont="1" applyFill="1" applyBorder="1" applyAlignment="1">
      <alignment vertical="top"/>
    </xf>
    <xf numFmtId="3" fontId="21" fillId="25" borderId="27" xfId="7" applyNumberFormat="1" applyFont="1" applyFill="1" applyBorder="1" applyAlignment="1">
      <alignment vertical="top"/>
    </xf>
    <xf numFmtId="0" fontId="23" fillId="0" borderId="31" xfId="7" applyFont="1" applyBorder="1" applyAlignment="1">
      <alignment horizontal="right" vertical="top" wrapText="1"/>
    </xf>
    <xf numFmtId="3" fontId="22" fillId="0" borderId="26" xfId="7" applyNumberFormat="1" applyFont="1" applyBorder="1" applyAlignment="1">
      <alignment vertical="top"/>
    </xf>
    <xf numFmtId="169" fontId="23" fillId="25" borderId="25" xfId="1" applyNumberFormat="1" applyFont="1" applyFill="1" applyBorder="1" applyAlignment="1">
      <alignment vertical="top"/>
    </xf>
    <xf numFmtId="169" fontId="23" fillId="19" borderId="26" xfId="1" applyNumberFormat="1" applyFont="1" applyFill="1" applyBorder="1" applyAlignment="1">
      <alignment vertical="top"/>
    </xf>
    <xf numFmtId="3" fontId="22" fillId="0" borderId="33" xfId="7" applyNumberFormat="1" applyFont="1" applyBorder="1" applyAlignment="1">
      <alignment vertical="top"/>
    </xf>
    <xf numFmtId="169" fontId="22" fillId="0" borderId="33" xfId="1" applyNumberFormat="1" applyFont="1" applyBorder="1" applyAlignment="1">
      <alignment vertical="top"/>
    </xf>
    <xf numFmtId="169" fontId="23" fillId="0" borderId="33" xfId="1" applyNumberFormat="1" applyFont="1" applyBorder="1" applyAlignment="1">
      <alignment vertical="top"/>
    </xf>
    <xf numFmtId="41" fontId="23" fillId="0" borderId="21" xfId="7" applyNumberFormat="1" applyFont="1" applyBorder="1"/>
    <xf numFmtId="169" fontId="22" fillId="0" borderId="26" xfId="1" applyNumberFormat="1" applyFont="1" applyBorder="1" applyAlignment="1">
      <alignment horizontal="right" vertical="top"/>
    </xf>
    <xf numFmtId="41" fontId="22" fillId="0" borderId="26" xfId="7" applyNumberFormat="1" applyFont="1" applyBorder="1" applyAlignment="1">
      <alignment vertical="top"/>
    </xf>
    <xf numFmtId="4" fontId="22" fillId="0" borderId="25" xfId="7" applyNumberFormat="1" applyFont="1" applyBorder="1" applyAlignment="1">
      <alignment vertical="top"/>
    </xf>
    <xf numFmtId="41" fontId="21" fillId="13" borderId="34" xfId="7" applyNumberFormat="1" applyFont="1" applyFill="1" applyBorder="1" applyAlignment="1">
      <alignment vertical="top"/>
    </xf>
    <xf numFmtId="41" fontId="20" fillId="0" borderId="34" xfId="7" applyNumberFormat="1" applyFont="1" applyBorder="1" applyAlignment="1">
      <alignment vertical="top"/>
    </xf>
    <xf numFmtId="0" fontId="22" fillId="19" borderId="26" xfId="7" applyFont="1" applyFill="1" applyBorder="1" applyAlignment="1">
      <alignment vertical="top"/>
    </xf>
    <xf numFmtId="169" fontId="22" fillId="19" borderId="26" xfId="1" applyNumberFormat="1" applyFont="1" applyFill="1" applyBorder="1" applyAlignment="1">
      <alignment vertical="top"/>
    </xf>
    <xf numFmtId="0" fontId="26" fillId="0" borderId="0" xfId="4" applyFont="1"/>
    <xf numFmtId="0" fontId="26" fillId="18" borderId="0" xfId="4" applyFont="1" applyFill="1"/>
    <xf numFmtId="0" fontId="26" fillId="20" borderId="0" xfId="4" applyFont="1" applyFill="1"/>
    <xf numFmtId="0" fontId="26" fillId="0" borderId="0" xfId="4" applyFont="1" applyAlignment="1">
      <alignment horizontal="left"/>
    </xf>
    <xf numFmtId="0" fontId="27" fillId="0" borderId="0" xfId="4" applyFont="1"/>
    <xf numFmtId="43" fontId="26" fillId="0" borderId="0" xfId="4" applyNumberFormat="1" applyFont="1"/>
    <xf numFmtId="168" fontId="26" fillId="0" borderId="0" xfId="4" applyNumberFormat="1" applyFont="1"/>
    <xf numFmtId="0" fontId="28" fillId="0" borderId="0" xfId="6" applyFont="1"/>
    <xf numFmtId="0" fontId="29" fillId="11" borderId="0" xfId="6" applyFont="1" applyFill="1"/>
    <xf numFmtId="0" fontId="28" fillId="0" borderId="7" xfId="6" applyFont="1" applyBorder="1" applyAlignment="1">
      <alignment horizontal="center"/>
    </xf>
    <xf numFmtId="0" fontId="28" fillId="0" borderId="7" xfId="6" applyFont="1" applyBorder="1"/>
    <xf numFmtId="0" fontId="29" fillId="0" borderId="14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29" fillId="0" borderId="15" xfId="6" applyFont="1" applyBorder="1" applyAlignment="1">
      <alignment horizontal="center" vertical="center" wrapText="1"/>
    </xf>
    <xf numFmtId="166" fontId="28" fillId="0" borderId="11" xfId="6" applyNumberFormat="1" applyFont="1" applyBorder="1" applyAlignment="1">
      <alignment horizontal="center"/>
    </xf>
    <xf numFmtId="0" fontId="29" fillId="5" borderId="11" xfId="6" applyFont="1" applyFill="1" applyBorder="1"/>
    <xf numFmtId="0" fontId="29" fillId="5" borderId="12" xfId="6" applyFont="1" applyFill="1" applyBorder="1"/>
    <xf numFmtId="43" fontId="28" fillId="0" borderId="12" xfId="6" applyNumberFormat="1" applyFont="1" applyBorder="1"/>
    <xf numFmtId="43" fontId="28" fillId="0" borderId="13" xfId="6" applyNumberFormat="1" applyFont="1" applyBorder="1"/>
    <xf numFmtId="0" fontId="26" fillId="20" borderId="23" xfId="7" applyFont="1" applyFill="1" applyBorder="1" applyAlignment="1">
      <alignment horizontal="left" vertical="center"/>
    </xf>
    <xf numFmtId="0" fontId="30" fillId="20" borderId="30" xfId="7" applyFont="1" applyFill="1" applyBorder="1" applyAlignment="1">
      <alignment horizontal="left" vertical="top" wrapText="1"/>
    </xf>
    <xf numFmtId="0" fontId="28" fillId="0" borderId="11" xfId="6" applyFont="1" applyBorder="1"/>
    <xf numFmtId="0" fontId="28" fillId="0" borderId="12" xfId="6" applyFont="1" applyBorder="1"/>
    <xf numFmtId="0" fontId="28" fillId="18" borderId="28" xfId="7" applyFont="1" applyFill="1" applyBorder="1" applyAlignment="1">
      <alignment horizontal="left" vertical="top" wrapText="1"/>
    </xf>
    <xf numFmtId="0" fontId="28" fillId="0" borderId="28" xfId="7" applyFont="1" applyBorder="1" applyAlignment="1">
      <alignment horizontal="left" vertical="top" wrapText="1"/>
    </xf>
    <xf numFmtId="0" fontId="28" fillId="0" borderId="31" xfId="7" applyFont="1" applyBorder="1" applyAlignment="1">
      <alignment horizontal="left" vertical="top" wrapText="1"/>
    </xf>
    <xf numFmtId="0" fontId="28" fillId="0" borderId="29" xfId="7" applyFont="1" applyBorder="1" applyAlignment="1">
      <alignment horizontal="left" vertical="top" wrapText="1"/>
    </xf>
    <xf numFmtId="0" fontId="26" fillId="21" borderId="23" xfId="7" applyFont="1" applyFill="1" applyBorder="1" applyAlignment="1">
      <alignment horizontal="center" vertical="center"/>
    </xf>
    <xf numFmtId="0" fontId="30" fillId="21" borderId="30" xfId="7" applyFont="1" applyFill="1" applyBorder="1" applyAlignment="1">
      <alignment horizontal="left" vertical="top" wrapText="1"/>
    </xf>
    <xf numFmtId="0" fontId="26" fillId="0" borderId="28" xfId="7" applyFont="1" applyBorder="1" applyAlignment="1">
      <alignment horizontal="left" vertical="top" wrapText="1"/>
    </xf>
    <xf numFmtId="0" fontId="28" fillId="0" borderId="24" xfId="7" applyFont="1" applyBorder="1" applyAlignment="1">
      <alignment horizontal="left" vertical="top" wrapText="1"/>
    </xf>
    <xf numFmtId="0" fontId="26" fillId="23" borderId="23" xfId="7" applyFont="1" applyFill="1" applyBorder="1" applyAlignment="1">
      <alignment horizontal="center" vertical="center"/>
    </xf>
    <xf numFmtId="0" fontId="30" fillId="23" borderId="30" xfId="7" applyFont="1" applyFill="1" applyBorder="1" applyAlignment="1">
      <alignment horizontal="left" vertical="top" wrapText="1"/>
    </xf>
    <xf numFmtId="0" fontId="26" fillId="22" borderId="23" xfId="7" applyFont="1" applyFill="1" applyBorder="1" applyAlignment="1">
      <alignment horizontal="center" vertical="center"/>
    </xf>
    <xf numFmtId="0" fontId="30" fillId="22" borderId="30" xfId="7" applyFont="1" applyFill="1" applyBorder="1" applyAlignment="1">
      <alignment horizontal="left" vertical="top" wrapText="1"/>
    </xf>
    <xf numFmtId="0" fontId="27" fillId="22" borderId="23" xfId="7" applyFont="1" applyFill="1" applyBorder="1" applyAlignment="1">
      <alignment horizontal="center" vertical="center"/>
    </xf>
    <xf numFmtId="0" fontId="26" fillId="12" borderId="23" xfId="7" applyFont="1" applyFill="1" applyBorder="1" applyAlignment="1">
      <alignment horizontal="center" vertical="center"/>
    </xf>
    <xf numFmtId="0" fontId="30" fillId="12" borderId="30" xfId="7" applyFont="1" applyFill="1" applyBorder="1" applyAlignment="1">
      <alignment horizontal="left" vertical="top" wrapText="1"/>
    </xf>
    <xf numFmtId="0" fontId="27" fillId="12" borderId="23" xfId="7" applyFont="1" applyFill="1" applyBorder="1" applyAlignment="1">
      <alignment horizontal="center" vertical="center"/>
    </xf>
    <xf numFmtId="0" fontId="26" fillId="24" borderId="23" xfId="7" applyFont="1" applyFill="1" applyBorder="1" applyAlignment="1">
      <alignment horizontal="center" vertical="center"/>
    </xf>
    <xf numFmtId="0" fontId="30" fillId="24" borderId="30" xfId="7" applyFont="1" applyFill="1" applyBorder="1" applyAlignment="1">
      <alignment horizontal="left" vertical="top" wrapText="1"/>
    </xf>
    <xf numFmtId="0" fontId="26" fillId="0" borderId="29" xfId="7" applyFont="1" applyBorder="1" applyAlignment="1">
      <alignment horizontal="left" vertical="top" wrapText="1"/>
    </xf>
    <xf numFmtId="0" fontId="26" fillId="15" borderId="23" xfId="7" applyFont="1" applyFill="1" applyBorder="1" applyAlignment="1">
      <alignment horizontal="center" vertical="center"/>
    </xf>
    <xf numFmtId="0" fontId="26" fillId="15" borderId="28" xfId="7" applyFont="1" applyFill="1" applyBorder="1" applyAlignment="1">
      <alignment horizontal="left" vertical="top" wrapText="1"/>
    </xf>
    <xf numFmtId="43" fontId="28" fillId="0" borderId="0" xfId="6" applyNumberFormat="1" applyFont="1"/>
    <xf numFmtId="16" fontId="28" fillId="0" borderId="14" xfId="6" applyNumberFormat="1" applyFont="1" applyBorder="1" applyAlignment="1">
      <alignment horizontal="center"/>
    </xf>
    <xf numFmtId="0" fontId="29" fillId="0" borderId="1" xfId="6" applyFont="1" applyBorder="1"/>
    <xf numFmtId="0" fontId="29" fillId="0" borderId="18" xfId="6" applyFont="1" applyBorder="1"/>
    <xf numFmtId="168" fontId="29" fillId="0" borderId="18" xfId="6" applyNumberFormat="1" applyFont="1" applyBorder="1"/>
    <xf numFmtId="0" fontId="28" fillId="0" borderId="8" xfId="6" applyFont="1" applyBorder="1" applyAlignment="1">
      <alignment horizontal="center"/>
    </xf>
    <xf numFmtId="0" fontId="28" fillId="0" borderId="8" xfId="6" applyFont="1" applyBorder="1"/>
    <xf numFmtId="0" fontId="29" fillId="0" borderId="9" xfId="6" applyFont="1" applyBorder="1" applyAlignment="1">
      <alignment horizontal="center"/>
    </xf>
    <xf numFmtId="0" fontId="29" fillId="0" borderId="10" xfId="6" applyFont="1" applyBorder="1" applyAlignment="1">
      <alignment horizontal="center"/>
    </xf>
    <xf numFmtId="0" fontId="29" fillId="0" borderId="14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16" fontId="28" fillId="0" borderId="0" xfId="6" applyNumberFormat="1" applyFont="1" applyAlignment="1">
      <alignment horizontal="center"/>
    </xf>
    <xf numFmtId="0" fontId="29" fillId="0" borderId="2" xfId="6" applyFont="1" applyBorder="1"/>
    <xf numFmtId="0" fontId="29" fillId="0" borderId="3" xfId="6" applyFont="1" applyBorder="1"/>
    <xf numFmtId="43" fontId="29" fillId="0" borderId="4" xfId="6" applyNumberFormat="1" applyFont="1" applyBorder="1"/>
    <xf numFmtId="43" fontId="29" fillId="0" borderId="0" xfId="6" applyNumberFormat="1" applyFont="1"/>
    <xf numFmtId="0" fontId="29" fillId="8" borderId="2" xfId="6" applyFont="1" applyFill="1" applyBorder="1"/>
    <xf numFmtId="0" fontId="29" fillId="8" borderId="3" xfId="6" applyFont="1" applyFill="1" applyBorder="1"/>
    <xf numFmtId="0" fontId="29" fillId="8" borderId="5" xfId="6" applyFont="1" applyFill="1" applyBorder="1"/>
    <xf numFmtId="0" fontId="29" fillId="8" borderId="0" xfId="6" applyFont="1" applyFill="1"/>
    <xf numFmtId="43" fontId="28" fillId="0" borderId="0" xfId="6" applyNumberFormat="1" applyFont="1" applyAlignment="1">
      <alignment horizontal="left"/>
    </xf>
    <xf numFmtId="43" fontId="28" fillId="0" borderId="0" xfId="0" applyNumberFormat="1" applyFont="1"/>
    <xf numFmtId="43" fontId="28" fillId="0" borderId="3" xfId="6" applyNumberFormat="1" applyFont="1" applyBorder="1"/>
    <xf numFmtId="167" fontId="28" fillId="0" borderId="0" xfId="6" applyNumberFormat="1" applyFont="1" applyAlignment="1">
      <alignment horizontal="center"/>
    </xf>
    <xf numFmtId="0" fontId="28" fillId="0" borderId="0" xfId="6" applyFont="1" applyAlignment="1">
      <alignment horizontal="center"/>
    </xf>
    <xf numFmtId="0" fontId="29" fillId="8" borderId="6" xfId="6" applyFont="1" applyFill="1" applyBorder="1"/>
    <xf numFmtId="0" fontId="29" fillId="8" borderId="7" xfId="6" applyFont="1" applyFill="1" applyBorder="1"/>
    <xf numFmtId="43" fontId="26" fillId="0" borderId="3" xfId="4" applyNumberFormat="1" applyFont="1" applyBorder="1"/>
    <xf numFmtId="164" fontId="28" fillId="0" borderId="0" xfId="6" applyNumberFormat="1" applyFont="1"/>
    <xf numFmtId="43" fontId="26" fillId="0" borderId="0" xfId="1" applyFont="1"/>
    <xf numFmtId="43" fontId="27" fillId="0" borderId="20" xfId="4" applyNumberFormat="1" applyFont="1" applyBorder="1"/>
    <xf numFmtId="44" fontId="19" fillId="0" borderId="17" xfId="1" applyNumberFormat="1" applyFont="1" applyBorder="1"/>
    <xf numFmtId="4" fontId="14" fillId="0" borderId="3" xfId="5" applyNumberFormat="1" applyFont="1" applyBorder="1" applyAlignment="1">
      <alignment vertical="center"/>
    </xf>
    <xf numFmtId="7" fontId="26" fillId="0" borderId="0" xfId="4" applyNumberFormat="1" applyFont="1"/>
    <xf numFmtId="164" fontId="26" fillId="0" borderId="0" xfId="4" applyNumberFormat="1" applyFont="1"/>
    <xf numFmtId="0" fontId="22" fillId="0" borderId="30" xfId="7" applyFont="1" applyBorder="1" applyAlignment="1">
      <alignment vertical="top" wrapText="1"/>
    </xf>
    <xf numFmtId="3" fontId="22" fillId="0" borderId="25" xfId="7" applyNumberFormat="1" applyFont="1" applyBorder="1" applyAlignment="1">
      <alignment vertical="top"/>
    </xf>
    <xf numFmtId="0" fontId="25" fillId="20" borderId="27" xfId="7" applyFont="1" applyFill="1" applyBorder="1" applyAlignment="1">
      <alignment horizontal="right" vertical="top" wrapText="1"/>
    </xf>
    <xf numFmtId="3" fontId="20" fillId="0" borderId="27" xfId="7" applyNumberFormat="1" applyFont="1" applyBorder="1" applyAlignment="1">
      <alignment vertical="top"/>
    </xf>
    <xf numFmtId="3" fontId="20" fillId="25" borderId="27" xfId="7" applyNumberFormat="1" applyFont="1" applyFill="1" applyBorder="1" applyAlignment="1">
      <alignment vertical="top"/>
    </xf>
    <xf numFmtId="0" fontId="23" fillId="0" borderId="31" xfId="7" applyFont="1" applyBorder="1" applyAlignment="1">
      <alignment horizontal="left" vertical="top" wrapText="1"/>
    </xf>
    <xf numFmtId="3" fontId="22" fillId="19" borderId="23" xfId="7" applyNumberFormat="1" applyFont="1" applyFill="1" applyBorder="1" applyAlignment="1">
      <alignment vertical="top"/>
    </xf>
    <xf numFmtId="0" fontId="23" fillId="19" borderId="23" xfId="7" applyFont="1" applyFill="1" applyBorder="1" applyAlignment="1">
      <alignment horizontal="left" vertical="top" wrapText="1"/>
    </xf>
    <xf numFmtId="3" fontId="22" fillId="19" borderId="25" xfId="7" applyNumberFormat="1" applyFont="1" applyFill="1" applyBorder="1" applyAlignment="1">
      <alignment vertical="top"/>
    </xf>
    <xf numFmtId="169" fontId="22" fillId="19" borderId="25" xfId="1" applyNumberFormat="1" applyFont="1" applyFill="1" applyBorder="1" applyAlignment="1">
      <alignment vertical="top"/>
    </xf>
    <xf numFmtId="169" fontId="23" fillId="19" borderId="25" xfId="1" applyNumberFormat="1" applyFont="1" applyFill="1" applyBorder="1" applyAlignment="1">
      <alignment vertical="top"/>
    </xf>
    <xf numFmtId="0" fontId="22" fillId="19" borderId="30" xfId="7" applyFont="1" applyFill="1" applyBorder="1" applyAlignment="1">
      <alignment horizontal="right" vertical="top" wrapText="1"/>
    </xf>
    <xf numFmtId="0" fontId="22" fillId="21" borderId="26" xfId="7" applyFont="1" applyFill="1" applyBorder="1" applyAlignment="1">
      <alignment horizontal="center" vertical="center"/>
    </xf>
    <xf numFmtId="0" fontId="23" fillId="0" borderId="26" xfId="7" applyFont="1" applyBorder="1" applyAlignment="1">
      <alignment horizontal="left" vertical="top" wrapText="1"/>
    </xf>
    <xf numFmtId="0" fontId="22" fillId="23" borderId="25" xfId="7" applyFont="1" applyFill="1" applyBorder="1" applyAlignment="1">
      <alignment horizontal="center" vertical="center"/>
    </xf>
    <xf numFmtId="0" fontId="22" fillId="0" borderId="25" xfId="7" applyFont="1" applyBorder="1" applyAlignment="1">
      <alignment vertical="top"/>
    </xf>
    <xf numFmtId="0" fontId="23" fillId="0" borderId="25" xfId="7" applyFont="1" applyBorder="1" applyAlignment="1">
      <alignment horizontal="left" vertical="top" wrapText="1"/>
    </xf>
    <xf numFmtId="0" fontId="22" fillId="21" borderId="27" xfId="7" applyFont="1" applyFill="1" applyBorder="1" applyAlignment="1">
      <alignment horizontal="center" vertical="center"/>
    </xf>
    <xf numFmtId="0" fontId="25" fillId="21" borderId="32" xfId="7" applyFont="1" applyFill="1" applyBorder="1" applyAlignment="1">
      <alignment horizontal="right" vertical="top" wrapText="1"/>
    </xf>
    <xf numFmtId="41" fontId="20" fillId="25" borderId="27" xfId="7" applyNumberFormat="1" applyFont="1" applyFill="1" applyBorder="1" applyAlignment="1">
      <alignment vertical="top"/>
    </xf>
    <xf numFmtId="3" fontId="20" fillId="0" borderId="27" xfId="7" applyNumberFormat="1" applyFont="1" applyBorder="1" applyAlignment="1">
      <alignment horizontal="left" vertical="top"/>
    </xf>
    <xf numFmtId="0" fontId="22" fillId="22" borderId="26" xfId="7" applyFont="1" applyFill="1" applyBorder="1" applyAlignment="1">
      <alignment horizontal="center" vertical="center"/>
    </xf>
    <xf numFmtId="0" fontId="22" fillId="0" borderId="25" xfId="7" applyFont="1" applyBorder="1" applyAlignment="1">
      <alignment horizontal="center" vertical="center"/>
    </xf>
    <xf numFmtId="0" fontId="20" fillId="0" borderId="30" xfId="7" applyFont="1" applyBorder="1" applyAlignment="1">
      <alignment horizontal="right" vertical="top" wrapText="1"/>
    </xf>
    <xf numFmtId="0" fontId="20" fillId="0" borderId="25" xfId="7" applyFont="1" applyBorder="1" applyAlignment="1">
      <alignment horizontal="right" vertical="top"/>
    </xf>
    <xf numFmtId="0" fontId="22" fillId="22" borderId="27" xfId="7" applyFont="1" applyFill="1" applyBorder="1" applyAlignment="1">
      <alignment horizontal="center" vertical="center"/>
    </xf>
    <xf numFmtId="0" fontId="25" fillId="22" borderId="32" xfId="7" applyFont="1" applyFill="1" applyBorder="1" applyAlignment="1">
      <alignment horizontal="right" vertical="top" wrapText="1"/>
    </xf>
    <xf numFmtId="169" fontId="23" fillId="20" borderId="26" xfId="1" applyNumberFormat="1" applyFont="1" applyFill="1" applyBorder="1" applyAlignment="1">
      <alignment vertical="top"/>
    </xf>
    <xf numFmtId="169" fontId="23" fillId="20" borderId="25" xfId="1" applyNumberFormat="1" applyFont="1" applyFill="1" applyBorder="1" applyAlignment="1">
      <alignment vertical="top"/>
    </xf>
    <xf numFmtId="169" fontId="20" fillId="20" borderId="23" xfId="1" applyNumberFormat="1" applyFont="1" applyFill="1" applyBorder="1" applyAlignment="1">
      <alignment vertical="top"/>
    </xf>
    <xf numFmtId="169" fontId="23" fillId="20" borderId="23" xfId="1" applyNumberFormat="1" applyFont="1" applyFill="1" applyBorder="1" applyAlignment="1">
      <alignment vertical="top"/>
    </xf>
    <xf numFmtId="41" fontId="20" fillId="20" borderId="34" xfId="7" applyNumberFormat="1" applyFont="1" applyFill="1" applyBorder="1" applyAlignment="1">
      <alignment vertical="top"/>
    </xf>
    <xf numFmtId="169" fontId="23" fillId="20" borderId="33" xfId="1" applyNumberFormat="1" applyFont="1" applyFill="1" applyBorder="1" applyAlignment="1">
      <alignment vertical="top"/>
    </xf>
    <xf numFmtId="41" fontId="23" fillId="20" borderId="21" xfId="7" applyNumberFormat="1" applyFont="1" applyFill="1" applyBorder="1"/>
    <xf numFmtId="0" fontId="23" fillId="19" borderId="31" xfId="7" applyFont="1" applyFill="1" applyBorder="1" applyAlignment="1">
      <alignment horizontal="right" vertical="top" wrapText="1"/>
    </xf>
    <xf numFmtId="3" fontId="22" fillId="19" borderId="26" xfId="7" applyNumberFormat="1" applyFont="1" applyFill="1" applyBorder="1" applyAlignment="1">
      <alignment vertical="top"/>
    </xf>
    <xf numFmtId="0" fontId="21" fillId="0" borderId="28" xfId="7" applyFont="1" applyBorder="1" applyAlignment="1">
      <alignment horizontal="center" vertical="top" wrapText="1"/>
    </xf>
    <xf numFmtId="44" fontId="12" fillId="18" borderId="37" xfId="0" applyNumberFormat="1" applyFont="1" applyFill="1" applyBorder="1"/>
    <xf numFmtId="44" fontId="12" fillId="18" borderId="40" xfId="1" applyNumberFormat="1" applyFont="1" applyFill="1" applyBorder="1"/>
    <xf numFmtId="44" fontId="12" fillId="18" borderId="40" xfId="0" applyNumberFormat="1" applyFont="1" applyFill="1" applyBorder="1"/>
    <xf numFmtId="4" fontId="14" fillId="18" borderId="46" xfId="1" applyNumberFormat="1" applyFont="1" applyFill="1" applyBorder="1"/>
    <xf numFmtId="4" fontId="14" fillId="18" borderId="47" xfId="0" applyNumberFormat="1" applyFont="1" applyFill="1" applyBorder="1"/>
    <xf numFmtId="4" fontId="14" fillId="0" borderId="47" xfId="0" applyNumberFormat="1" applyFont="1" applyBorder="1"/>
    <xf numFmtId="4" fontId="13" fillId="18" borderId="47" xfId="0" applyNumberFormat="1" applyFont="1" applyFill="1" applyBorder="1"/>
    <xf numFmtId="4" fontId="13" fillId="0" borderId="47" xfId="0" applyNumberFormat="1" applyFont="1" applyBorder="1"/>
    <xf numFmtId="168" fontId="20" fillId="0" borderId="47" xfId="6" applyNumberFormat="1" applyFont="1" applyBorder="1"/>
    <xf numFmtId="4" fontId="13" fillId="15" borderId="47" xfId="0" applyNumberFormat="1" applyFont="1" applyFill="1" applyBorder="1"/>
    <xf numFmtId="4" fontId="14" fillId="0" borderId="48" xfId="0" applyNumberFormat="1" applyFont="1" applyBorder="1"/>
    <xf numFmtId="2" fontId="14" fillId="18" borderId="47" xfId="0" applyNumberFormat="1" applyFont="1" applyFill="1" applyBorder="1"/>
    <xf numFmtId="0" fontId="16" fillId="18" borderId="0" xfId="0" applyFont="1" applyFill="1" applyAlignment="1">
      <alignment vertical="top"/>
    </xf>
    <xf numFmtId="0" fontId="13" fillId="18" borderId="0" xfId="0" applyFont="1" applyFill="1"/>
    <xf numFmtId="0" fontId="28" fillId="13" borderId="11" xfId="6" applyFont="1" applyFill="1" applyBorder="1"/>
    <xf numFmtId="164" fontId="26" fillId="0" borderId="10" xfId="4" applyNumberFormat="1" applyFont="1" applyBorder="1"/>
    <xf numFmtId="164" fontId="26" fillId="18" borderId="0" xfId="4" applyNumberFormat="1" applyFont="1" applyFill="1"/>
    <xf numFmtId="0" fontId="26" fillId="0" borderId="0" xfId="4" applyFont="1" applyAlignment="1">
      <alignment horizontal="center"/>
    </xf>
    <xf numFmtId="43" fontId="28" fillId="13" borderId="13" xfId="6" applyNumberFormat="1" applyFont="1" applyFill="1" applyBorder="1"/>
    <xf numFmtId="170" fontId="28" fillId="0" borderId="7" xfId="6" applyNumberFormat="1" applyFont="1" applyBorder="1" applyAlignment="1">
      <alignment horizontal="center"/>
    </xf>
    <xf numFmtId="170" fontId="29" fillId="0" borderId="14" xfId="6" applyNumberFormat="1" applyFont="1" applyBorder="1" applyAlignment="1">
      <alignment horizontal="center" vertical="center" wrapText="1"/>
    </xf>
    <xf numFmtId="170" fontId="28" fillId="0" borderId="11" xfId="6" applyNumberFormat="1" applyFont="1" applyBorder="1" applyAlignment="1">
      <alignment horizontal="center"/>
    </xf>
    <xf numFmtId="170" fontId="26" fillId="0" borderId="0" xfId="4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/>
    </xf>
    <xf numFmtId="170" fontId="28" fillId="0" borderId="8" xfId="6" applyNumberFormat="1" applyFont="1" applyBorder="1" applyAlignment="1">
      <alignment horizontal="center"/>
    </xf>
    <xf numFmtId="170" fontId="28" fillId="0" borderId="0" xfId="6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 vertical="center"/>
    </xf>
    <xf numFmtId="43" fontId="28" fillId="0" borderId="7" xfId="6" applyNumberFormat="1" applyFont="1" applyBorder="1"/>
    <xf numFmtId="43" fontId="29" fillId="14" borderId="10" xfId="6" applyNumberFormat="1" applyFont="1" applyFill="1" applyBorder="1" applyAlignment="1">
      <alignment horizontal="center" vertical="center"/>
    </xf>
    <xf numFmtId="43" fontId="29" fillId="0" borderId="17" xfId="6" applyNumberFormat="1" applyFont="1" applyBorder="1" applyAlignment="1">
      <alignment horizontal="center" vertical="center" wrapText="1"/>
    </xf>
    <xf numFmtId="43" fontId="29" fillId="0" borderId="15" xfId="6" applyNumberFormat="1" applyFont="1" applyBorder="1"/>
    <xf numFmtId="43" fontId="28" fillId="0" borderId="4" xfId="6" applyNumberFormat="1" applyFont="1" applyBorder="1"/>
    <xf numFmtId="43" fontId="29" fillId="0" borderId="17" xfId="6" applyNumberFormat="1" applyFont="1" applyBorder="1" applyAlignment="1">
      <alignment horizontal="center" vertical="center"/>
    </xf>
    <xf numFmtId="43" fontId="29" fillId="8" borderId="3" xfId="6" applyNumberFormat="1" applyFont="1" applyFill="1" applyBorder="1"/>
    <xf numFmtId="43" fontId="29" fillId="8" borderId="0" xfId="6" applyNumberFormat="1" applyFont="1" applyFill="1"/>
    <xf numFmtId="43" fontId="27" fillId="8" borderId="0" xfId="4" applyNumberFormat="1" applyFont="1" applyFill="1"/>
    <xf numFmtId="43" fontId="29" fillId="8" borderId="7" xfId="6" applyNumberFormat="1" applyFont="1" applyFill="1" applyBorder="1"/>
    <xf numFmtId="0" fontId="29" fillId="0" borderId="12" xfId="6" applyFont="1" applyBorder="1"/>
    <xf numFmtId="43" fontId="29" fillId="0" borderId="16" xfId="6" applyNumberFormat="1" applyFont="1" applyBorder="1" applyAlignment="1">
      <alignment horizontal="center" vertical="center" wrapText="1"/>
    </xf>
    <xf numFmtId="43" fontId="29" fillId="0" borderId="18" xfId="6" applyNumberFormat="1" applyFont="1" applyBorder="1"/>
    <xf numFmtId="43" fontId="28" fillId="0" borderId="19" xfId="6" applyNumberFormat="1" applyFont="1" applyBorder="1"/>
    <xf numFmtId="43" fontId="29" fillId="0" borderId="16" xfId="6" applyNumberFormat="1" applyFont="1" applyBorder="1" applyAlignment="1">
      <alignment horizontal="center" vertical="center"/>
    </xf>
    <xf numFmtId="43" fontId="29" fillId="0" borderId="5" xfId="6" applyNumberFormat="1" applyFont="1" applyBorder="1"/>
    <xf numFmtId="0" fontId="29" fillId="11" borderId="0" xfId="6" applyFont="1" applyFill="1" applyAlignment="1">
      <alignment horizontal="center"/>
    </xf>
    <xf numFmtId="0" fontId="29" fillId="0" borderId="0" xfId="6" applyFont="1" applyBorder="1" applyAlignment="1">
      <alignment horizontal="center" vertical="center" wrapText="1"/>
    </xf>
    <xf numFmtId="43" fontId="28" fillId="0" borderId="0" xfId="6" applyNumberFormat="1" applyFont="1" applyBorder="1"/>
    <xf numFmtId="43" fontId="29" fillId="18" borderId="13" xfId="6" applyNumberFormat="1" applyFont="1" applyFill="1" applyBorder="1"/>
    <xf numFmtId="43" fontId="28" fillId="0" borderId="0" xfId="6" applyNumberFormat="1" applyFont="1" applyFill="1" applyBorder="1"/>
    <xf numFmtId="0" fontId="29" fillId="10" borderId="22" xfId="6" applyFont="1" applyFill="1" applyBorder="1" applyAlignment="1">
      <alignment horizontal="center" vertical="center"/>
    </xf>
    <xf numFmtId="0" fontId="29" fillId="10" borderId="10" xfId="6" applyFont="1" applyFill="1" applyBorder="1" applyAlignment="1">
      <alignment horizontal="center" vertical="center"/>
    </xf>
    <xf numFmtId="0" fontId="29" fillId="11" borderId="5" xfId="6" applyFont="1" applyFill="1" applyBorder="1" applyAlignment="1">
      <alignment horizontal="center"/>
    </xf>
    <xf numFmtId="0" fontId="29" fillId="11" borderId="0" xfId="6" applyFont="1" applyFill="1" applyAlignment="1">
      <alignment horizontal="center"/>
    </xf>
    <xf numFmtId="43" fontId="29" fillId="0" borderId="0" xfId="6" applyNumberFormat="1" applyFont="1" applyAlignment="1">
      <alignment horizontal="right"/>
    </xf>
    <xf numFmtId="0" fontId="29" fillId="9" borderId="5" xfId="6" applyFont="1" applyFill="1" applyBorder="1" applyAlignment="1">
      <alignment horizontal="center" vertical="center"/>
    </xf>
    <xf numFmtId="0" fontId="29" fillId="9" borderId="0" xfId="6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4" fillId="7" borderId="0" xfId="0" applyFont="1" applyFill="1" applyAlignment="1">
      <alignment horizontal="center"/>
    </xf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12" fillId="0" borderId="39" xfId="0" applyFont="1" applyBorder="1"/>
    <xf numFmtId="0" fontId="12" fillId="0" borderId="41" xfId="0" applyFont="1" applyBorder="1"/>
    <xf numFmtId="0" fontId="12" fillId="0" borderId="42" xfId="0" applyFont="1" applyBorder="1"/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44" fontId="12" fillId="18" borderId="43" xfId="1" applyNumberFormat="1" applyFont="1" applyFill="1" applyBorder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5 2" xfId="7" xr:uid="{00000000-0005-0000-0000-000006000000}"/>
    <cellStyle name="Normal_Accounts 2002-03 - Period 3" xfId="6" xr:uid="{00000000-0005-0000-0000-000007000000}"/>
  </cellStyles>
  <dxfs count="8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6"/>
  <sheetViews>
    <sheetView topLeftCell="B1" zoomScaleNormal="100" workbookViewId="0">
      <pane xSplit="6" ySplit="3" topLeftCell="I4" activePane="bottomRight" state="frozen"/>
      <selection activeCell="B1" sqref="B1"/>
      <selection pane="topRight" activeCell="G1" sqref="G1"/>
      <selection pane="bottomLeft" activeCell="B4" sqref="B4"/>
      <selection pane="bottomRight" activeCell="J11" sqref="J11"/>
    </sheetView>
  </sheetViews>
  <sheetFormatPr defaultColWidth="11.42578125" defaultRowHeight="12.75" x14ac:dyDescent="0.2"/>
  <cols>
    <col min="1" max="1" width="22.85546875" style="57" customWidth="1"/>
    <col min="2" max="2" width="4.7109375" style="45" customWidth="1"/>
    <col min="3" max="3" width="22.5703125" style="50" bestFit="1" customWidth="1"/>
    <col min="4" max="4" width="11" style="50" customWidth="1"/>
    <col min="5" max="11" width="11" style="57" customWidth="1"/>
    <col min="12" max="12" width="39.5703125" style="57" customWidth="1"/>
    <col min="13" max="16384" width="11.42578125" style="57"/>
  </cols>
  <sheetData>
    <row r="1" spans="1:12" x14ac:dyDescent="0.2">
      <c r="A1" s="56" t="s">
        <v>89</v>
      </c>
      <c r="B1" s="43"/>
      <c r="D1" s="46"/>
      <c r="E1" s="47"/>
    </row>
    <row r="2" spans="1:12" x14ac:dyDescent="0.2">
      <c r="D2" s="57"/>
      <c r="G2" s="48"/>
      <c r="H2" s="48"/>
      <c r="I2" s="48"/>
      <c r="J2" s="48"/>
      <c r="K2" s="48"/>
      <c r="L2" s="49"/>
    </row>
    <row r="3" spans="1:12" ht="57.75" x14ac:dyDescent="0.2">
      <c r="B3" s="44" t="s">
        <v>150</v>
      </c>
      <c r="D3" s="51" t="s">
        <v>106</v>
      </c>
      <c r="E3" s="51" t="s">
        <v>107</v>
      </c>
      <c r="F3" s="51" t="s">
        <v>108</v>
      </c>
      <c r="G3" s="51" t="s">
        <v>131</v>
      </c>
      <c r="H3" s="51" t="s">
        <v>134</v>
      </c>
      <c r="I3" s="51" t="s">
        <v>141</v>
      </c>
      <c r="J3" s="52" t="s">
        <v>227</v>
      </c>
      <c r="K3" s="51" t="s">
        <v>173</v>
      </c>
      <c r="L3" s="53" t="s">
        <v>76</v>
      </c>
    </row>
    <row r="4" spans="1:12" ht="25.5" x14ac:dyDescent="0.2">
      <c r="A4" s="58"/>
      <c r="B4" s="104">
        <v>1</v>
      </c>
      <c r="C4" s="96" t="s">
        <v>142</v>
      </c>
      <c r="D4" s="59">
        <v>10000</v>
      </c>
      <c r="E4" s="59">
        <v>13000</v>
      </c>
      <c r="F4" s="54">
        <v>13000</v>
      </c>
      <c r="G4" s="60">
        <v>9200</v>
      </c>
      <c r="H4" s="60">
        <v>2500</v>
      </c>
      <c r="I4" s="60">
        <v>2000</v>
      </c>
      <c r="J4" s="119">
        <f>SUMIFS(Cashbook!$G$8:$G$154,Cashbook!$J$8:$J$154,"Community fund",Cashbook!$K$8:$K$154,1)</f>
        <v>183.75</v>
      </c>
      <c r="K4" s="60">
        <v>3500</v>
      </c>
      <c r="L4" s="61" t="s">
        <v>215</v>
      </c>
    </row>
    <row r="5" spans="1:12" ht="25.5" x14ac:dyDescent="0.2">
      <c r="A5" s="58"/>
      <c r="B5" s="104">
        <v>2</v>
      </c>
      <c r="C5" s="96" t="s">
        <v>214</v>
      </c>
      <c r="D5" s="59"/>
      <c r="E5" s="59"/>
      <c r="F5" s="54">
        <v>50</v>
      </c>
      <c r="G5" s="60">
        <v>200</v>
      </c>
      <c r="H5" s="60">
        <v>1000</v>
      </c>
      <c r="I5" s="60">
        <v>1000</v>
      </c>
      <c r="J5" s="119">
        <f>SUMIFS(Cashbook!$G$8:$G$154,Cashbook!$J$8:$J$154,"Community fund",Cashbook!$K$8:$K$154,2)</f>
        <v>1485.83</v>
      </c>
      <c r="K5" s="60">
        <v>2000</v>
      </c>
      <c r="L5" s="61" t="s">
        <v>216</v>
      </c>
    </row>
    <row r="6" spans="1:12" x14ac:dyDescent="0.2">
      <c r="A6" s="58"/>
      <c r="B6" s="104">
        <v>3</v>
      </c>
      <c r="C6" s="96" t="s">
        <v>46</v>
      </c>
      <c r="D6" s="59"/>
      <c r="E6" s="59"/>
      <c r="F6" s="54"/>
      <c r="G6" s="60"/>
      <c r="H6" s="60">
        <v>10176</v>
      </c>
      <c r="I6" s="60"/>
      <c r="J6" s="119">
        <f>SUMIFS(Cashbook!$G$8:$G$154,Cashbook!$J$8:$J$154,"Community fund",Cashbook!$K$8:$K$154,3)</f>
        <v>0</v>
      </c>
      <c r="K6" s="60"/>
      <c r="L6" s="61" t="s">
        <v>174</v>
      </c>
    </row>
    <row r="7" spans="1:12" x14ac:dyDescent="0.2">
      <c r="A7" s="58"/>
      <c r="B7" s="104">
        <v>4</v>
      </c>
      <c r="C7" s="124" t="s">
        <v>165</v>
      </c>
      <c r="D7" s="125"/>
      <c r="E7" s="125"/>
      <c r="F7" s="78"/>
      <c r="G7" s="79"/>
      <c r="H7" s="79"/>
      <c r="I7" s="79">
        <v>1000</v>
      </c>
      <c r="J7" s="119">
        <f>SUMIFS(Cashbook!$G$8:$G$154,Cashbook!$J$8:$J$154,"Community fund",Cashbook!$K$8:$K$154,4)</f>
        <v>1100</v>
      </c>
      <c r="K7" s="79">
        <v>1100</v>
      </c>
      <c r="L7" s="61"/>
    </row>
    <row r="8" spans="1:12" x14ac:dyDescent="0.2">
      <c r="A8" s="58"/>
      <c r="B8" s="104">
        <v>5</v>
      </c>
      <c r="C8" s="253" t="s">
        <v>167</v>
      </c>
      <c r="D8" s="254"/>
      <c r="E8" s="254"/>
      <c r="F8" s="138"/>
      <c r="G8" s="127"/>
      <c r="H8" s="127"/>
      <c r="I8" s="127"/>
      <c r="J8" s="75">
        <f>SUMIFS(Cashbook!$G$8:$G$154,Cashbook!$J$8:$J$154,"Community fund",Cashbook!$K$8:$K$154,5)</f>
        <v>0</v>
      </c>
      <c r="K8" s="127">
        <v>0</v>
      </c>
      <c r="L8" s="226" t="s">
        <v>217</v>
      </c>
    </row>
    <row r="9" spans="1:12" ht="25.5" x14ac:dyDescent="0.2">
      <c r="A9" s="58"/>
      <c r="B9" s="104">
        <v>6</v>
      </c>
      <c r="C9" s="124" t="s">
        <v>218</v>
      </c>
      <c r="D9" s="125"/>
      <c r="E9" s="125"/>
      <c r="F9" s="78"/>
      <c r="G9" s="79"/>
      <c r="H9" s="79">
        <v>11305</v>
      </c>
      <c r="I9" s="79">
        <v>500</v>
      </c>
      <c r="J9" s="119">
        <f>SUMIFS(Cashbook!$G$8:$G$154,Cashbook!$J$8:$J$154,"Community fund",Cashbook!$K$8:$K$154,6)</f>
        <v>600</v>
      </c>
      <c r="K9" s="79">
        <v>500</v>
      </c>
      <c r="L9" s="61" t="s">
        <v>239</v>
      </c>
    </row>
    <row r="10" spans="1:12" x14ac:dyDescent="0.2">
      <c r="A10" s="58"/>
      <c r="B10" s="104">
        <v>1</v>
      </c>
      <c r="C10" s="224" t="s">
        <v>210</v>
      </c>
      <c r="D10" s="125"/>
      <c r="E10" s="125"/>
      <c r="F10" s="78"/>
      <c r="G10" s="79"/>
      <c r="H10" s="79"/>
      <c r="I10" s="79"/>
      <c r="J10" s="246">
        <f>-SUMIFS(Cashbook!$F$8:$F$154,Cashbook!$J$8:$J$154,"Community fund",Cashbook!$K$8:$K$154,2)</f>
        <v>0</v>
      </c>
      <c r="K10" s="79"/>
      <c r="L10" s="61" t="s">
        <v>213</v>
      </c>
    </row>
    <row r="11" spans="1:12" ht="13.5" thickBot="1" x14ac:dyDescent="0.25">
      <c r="A11" s="58"/>
      <c r="B11" s="104"/>
      <c r="C11" s="221" t="s">
        <v>88</v>
      </c>
      <c r="D11" s="222">
        <f t="shared" ref="D11:G11" si="0">SUM(D4:D9)</f>
        <v>10000</v>
      </c>
      <c r="E11" s="222">
        <f t="shared" si="0"/>
        <v>13000</v>
      </c>
      <c r="F11" s="222">
        <f t="shared" si="0"/>
        <v>13050</v>
      </c>
      <c r="G11" s="222">
        <f t="shared" si="0"/>
        <v>9400</v>
      </c>
      <c r="H11" s="222">
        <f>SUM(H4:H9)</f>
        <v>24981</v>
      </c>
      <c r="I11" s="222">
        <v>3500</v>
      </c>
      <c r="J11" s="223">
        <f>SUM(J4:J10)</f>
        <v>3369.58</v>
      </c>
      <c r="K11" s="222">
        <f t="shared" ref="K11" si="1">SUM(K4:K9)</f>
        <v>7100</v>
      </c>
      <c r="L11" s="67"/>
    </row>
    <row r="12" spans="1:12" ht="13.5" thickTop="1" x14ac:dyDescent="0.2">
      <c r="A12" s="58"/>
      <c r="B12" s="108"/>
      <c r="C12" s="230" t="s">
        <v>109</v>
      </c>
      <c r="D12" s="227"/>
      <c r="E12" s="227">
        <v>5000</v>
      </c>
      <c r="F12" s="228">
        <v>5000</v>
      </c>
      <c r="G12" s="229">
        <v>2000</v>
      </c>
      <c r="H12" s="229">
        <v>500</v>
      </c>
      <c r="I12" s="229"/>
      <c r="J12" s="229"/>
      <c r="K12" s="229"/>
      <c r="L12" s="226"/>
    </row>
    <row r="13" spans="1:12" x14ac:dyDescent="0.2">
      <c r="A13" s="68" t="s">
        <v>12</v>
      </c>
      <c r="B13" s="108">
        <v>1</v>
      </c>
      <c r="C13" s="99" t="s">
        <v>211</v>
      </c>
      <c r="D13" s="225"/>
      <c r="E13" s="225"/>
      <c r="F13" s="74"/>
      <c r="G13" s="75"/>
      <c r="H13" s="75"/>
      <c r="I13" s="75">
        <v>0</v>
      </c>
      <c r="J13" s="75">
        <f>SUMIFS(Cashbook!$G$8:$G$154,Cashbook!$J$8:$J$154,"Projects",Cashbook!$K$8:$K$154,1)</f>
        <v>380</v>
      </c>
      <c r="K13" s="60">
        <v>7500</v>
      </c>
      <c r="L13" s="61"/>
    </row>
    <row r="14" spans="1:12" x14ac:dyDescent="0.2">
      <c r="A14" s="58"/>
      <c r="B14" s="108">
        <v>2</v>
      </c>
      <c r="C14" s="96"/>
      <c r="D14" s="59"/>
      <c r="E14" s="59"/>
      <c r="F14" s="54"/>
      <c r="G14" s="60"/>
      <c r="H14" s="60"/>
      <c r="I14" s="60"/>
      <c r="J14" s="119"/>
      <c r="K14" s="60"/>
      <c r="L14" s="61"/>
    </row>
    <row r="15" spans="1:12" ht="25.5" x14ac:dyDescent="0.2">
      <c r="A15" s="58"/>
      <c r="B15" s="108">
        <v>3</v>
      </c>
      <c r="C15" s="96" t="s">
        <v>111</v>
      </c>
      <c r="D15" s="59"/>
      <c r="E15" s="59"/>
      <c r="F15" s="54">
        <v>150</v>
      </c>
      <c r="G15" s="60">
        <v>150</v>
      </c>
      <c r="H15" s="60">
        <v>200</v>
      </c>
      <c r="I15" s="60">
        <v>0</v>
      </c>
      <c r="J15" s="119">
        <f>SUMIFS(Cashbook!$G$8:$G$154,Cashbook!$J$8:$J$154,"Projects",Cashbook!$K$8:$K$154,3)</f>
        <v>0</v>
      </c>
      <c r="K15" s="60"/>
      <c r="L15" s="61" t="s">
        <v>162</v>
      </c>
    </row>
    <row r="16" spans="1:12" ht="25.5" x14ac:dyDescent="0.2">
      <c r="A16" s="58"/>
      <c r="B16" s="108">
        <v>4</v>
      </c>
      <c r="C16" s="96" t="s">
        <v>112</v>
      </c>
      <c r="D16" s="69"/>
      <c r="E16" s="59">
        <v>600</v>
      </c>
      <c r="F16" s="54">
        <v>560</v>
      </c>
      <c r="G16" s="60">
        <v>1560</v>
      </c>
      <c r="H16" s="60">
        <v>1060</v>
      </c>
      <c r="I16" s="60">
        <v>1060</v>
      </c>
      <c r="J16" s="119">
        <f>SUMIFS(Cashbook!$G$8:$G$154,Cashbook!$J$8:$J$154,"Projects",Cashbook!$K$8:$K$154,4)</f>
        <v>0</v>
      </c>
      <c r="K16" s="60">
        <v>560</v>
      </c>
      <c r="L16" s="61" t="s">
        <v>240</v>
      </c>
    </row>
    <row r="17" spans="1:12" x14ac:dyDescent="0.2">
      <c r="A17" s="58"/>
      <c r="B17" s="108">
        <v>5</v>
      </c>
      <c r="C17" s="96" t="s">
        <v>113</v>
      </c>
      <c r="D17" s="70"/>
      <c r="E17" s="71"/>
      <c r="F17" s="54">
        <v>1626</v>
      </c>
      <c r="G17" s="60">
        <v>3000</v>
      </c>
      <c r="H17" s="60">
        <v>3000</v>
      </c>
      <c r="I17" s="60">
        <v>4000</v>
      </c>
      <c r="J17" s="119">
        <f>SUMIFS(Cashbook!$G$8:$G$154,Cashbook!$J$8:$J$154,"Projects",Cashbook!$K$8:$K$154,5)</f>
        <v>729.99</v>
      </c>
      <c r="K17" s="60">
        <v>4000</v>
      </c>
      <c r="L17" s="61"/>
    </row>
    <row r="18" spans="1:12" x14ac:dyDescent="0.2">
      <c r="A18" s="58"/>
      <c r="B18" s="108">
        <v>6</v>
      </c>
      <c r="C18" s="96" t="s">
        <v>121</v>
      </c>
      <c r="D18" s="69"/>
      <c r="E18" s="59"/>
      <c r="F18" s="54">
        <v>1000</v>
      </c>
      <c r="G18" s="60">
        <v>1000</v>
      </c>
      <c r="H18" s="60">
        <v>2300</v>
      </c>
      <c r="I18" s="60">
        <v>100</v>
      </c>
      <c r="J18" s="119">
        <f>SUMIFS(Cashbook!$G$8:$G$154,Cashbook!$J$8:$J$154,"Projects",Cashbook!$K$8:$K$154,6)</f>
        <v>0</v>
      </c>
      <c r="K18" s="60">
        <v>50</v>
      </c>
      <c r="L18" s="61"/>
    </row>
    <row r="19" spans="1:12" x14ac:dyDescent="0.2">
      <c r="A19" s="58"/>
      <c r="B19" s="108">
        <v>7</v>
      </c>
      <c r="C19" s="96" t="s">
        <v>122</v>
      </c>
      <c r="D19" s="69"/>
      <c r="E19" s="59"/>
      <c r="F19" s="54">
        <v>250</v>
      </c>
      <c r="G19" s="60">
        <v>250</v>
      </c>
      <c r="H19" s="60">
        <v>0</v>
      </c>
      <c r="I19" s="60">
        <v>0</v>
      </c>
      <c r="J19" s="119">
        <f>SUMIFS(Cashbook!$G$8:$G$154,Cashbook!$J$8:$J$154,"Projects",Cashbook!$K$8:$K$154,7)</f>
        <v>0</v>
      </c>
      <c r="K19" s="60">
        <v>250</v>
      </c>
      <c r="L19" s="61" t="s">
        <v>219</v>
      </c>
    </row>
    <row r="20" spans="1:12" x14ac:dyDescent="0.2">
      <c r="A20" s="58"/>
      <c r="B20" s="108">
        <v>8</v>
      </c>
      <c r="C20" s="96" t="s">
        <v>123</v>
      </c>
      <c r="D20" s="69"/>
      <c r="E20" s="59"/>
      <c r="F20" s="54">
        <v>250</v>
      </c>
      <c r="G20" s="60">
        <v>250</v>
      </c>
      <c r="H20" s="60">
        <v>250</v>
      </c>
      <c r="I20" s="60">
        <v>250</v>
      </c>
      <c r="J20" s="119">
        <f>SUMIFS(Cashbook!$G$8:$G$154,Cashbook!$J$8:$J$154,"Projects",Cashbook!$K$8:$K$154,8)</f>
        <v>0</v>
      </c>
      <c r="K20" s="60">
        <v>100</v>
      </c>
      <c r="L20" s="61" t="s">
        <v>114</v>
      </c>
    </row>
    <row r="21" spans="1:12" x14ac:dyDescent="0.2">
      <c r="A21" s="58"/>
      <c r="B21" s="108">
        <v>9</v>
      </c>
      <c r="C21" s="96" t="s">
        <v>115</v>
      </c>
      <c r="D21" s="69"/>
      <c r="E21" s="59"/>
      <c r="F21" s="54">
        <v>500</v>
      </c>
      <c r="G21" s="60">
        <v>500</v>
      </c>
      <c r="H21" s="60">
        <v>500</v>
      </c>
      <c r="I21" s="60"/>
      <c r="J21" s="119">
        <f>SUMIFS(Cashbook!$G$8:$G$154,Cashbook!$J$8:$J$154,"Projects",Cashbook!$K$8:$K$154,9)</f>
        <v>0</v>
      </c>
      <c r="K21" s="60">
        <v>250</v>
      </c>
      <c r="L21" s="61" t="s">
        <v>220</v>
      </c>
    </row>
    <row r="22" spans="1:12" x14ac:dyDescent="0.2">
      <c r="A22" s="58"/>
      <c r="B22" s="108">
        <v>10</v>
      </c>
      <c r="C22" s="96" t="s">
        <v>137</v>
      </c>
      <c r="D22" s="72"/>
      <c r="E22" s="73"/>
      <c r="F22" s="74"/>
      <c r="G22" s="75"/>
      <c r="H22" s="60">
        <v>11305</v>
      </c>
      <c r="I22" s="60">
        <v>5000</v>
      </c>
      <c r="J22" s="119">
        <f>SUMIFS(Cashbook!$G$8:$G$154,Cashbook!$J$8:$J$154,"Projects",Cashbook!$K$8:$K$154,10)</f>
        <v>0</v>
      </c>
      <c r="K22" s="60">
        <v>5000</v>
      </c>
      <c r="L22" s="61" t="s">
        <v>238</v>
      </c>
    </row>
    <row r="23" spans="1:12" x14ac:dyDescent="0.2">
      <c r="A23" s="58"/>
      <c r="B23" s="108">
        <v>12</v>
      </c>
      <c r="C23" s="96" t="s">
        <v>159</v>
      </c>
      <c r="D23" s="69"/>
      <c r="E23" s="59"/>
      <c r="F23" s="54"/>
      <c r="G23" s="60"/>
      <c r="H23" s="60"/>
      <c r="I23" s="60"/>
      <c r="J23" s="119">
        <f>SUMIFS(Cashbook!$G$8:$G$154,Cashbook!$J$8:$J$154,"Projects",Cashbook!$K$8:$K$154,12)</f>
        <v>0</v>
      </c>
      <c r="K23" s="60"/>
      <c r="L23" s="61"/>
    </row>
    <row r="24" spans="1:12" x14ac:dyDescent="0.2">
      <c r="A24" s="58"/>
      <c r="B24" s="231"/>
      <c r="C24" s="224" t="s">
        <v>210</v>
      </c>
      <c r="D24" s="125"/>
      <c r="E24" s="125"/>
      <c r="F24" s="78"/>
      <c r="G24" s="79"/>
      <c r="H24" s="79"/>
      <c r="I24" s="79"/>
      <c r="J24" s="246">
        <f>-SUMIFS(Cashbook!$F$8:$F$154,Cashbook!$J$8:$J$154,"Projects",Cashbook!$K$8:$K$154,1)</f>
        <v>0</v>
      </c>
      <c r="K24" s="79"/>
      <c r="L24" s="232"/>
    </row>
    <row r="25" spans="1:12" ht="13.5" thickBot="1" x14ac:dyDescent="0.25">
      <c r="A25" s="58"/>
      <c r="B25" s="236"/>
      <c r="C25" s="237" t="s">
        <v>87</v>
      </c>
      <c r="D25" s="222">
        <f>SUM(D12:D23)</f>
        <v>0</v>
      </c>
      <c r="E25" s="222">
        <f>SUM(E12:E23)</f>
        <v>5600</v>
      </c>
      <c r="F25" s="222">
        <f>SUM(F12:F23)</f>
        <v>9336</v>
      </c>
      <c r="G25" s="222">
        <f>SUM(G12:G23)</f>
        <v>8710</v>
      </c>
      <c r="H25" s="222">
        <f>SUM(H12:H23)</f>
        <v>19115</v>
      </c>
      <c r="I25" s="222">
        <v>11410</v>
      </c>
      <c r="J25" s="223">
        <f>SUM(J13:J24)</f>
        <v>1109.99</v>
      </c>
      <c r="K25" s="238">
        <f>SUM(K13:K23)</f>
        <v>17710</v>
      </c>
      <c r="L25" s="239"/>
    </row>
    <row r="26" spans="1:12" ht="13.5" thickTop="1" x14ac:dyDescent="0.2">
      <c r="A26" s="58"/>
      <c r="B26" s="233"/>
      <c r="C26" s="219"/>
      <c r="D26" s="234"/>
      <c r="E26" s="220"/>
      <c r="F26" s="83"/>
      <c r="G26" s="84"/>
      <c r="H26" s="84"/>
      <c r="I26" s="84"/>
      <c r="J26" s="126"/>
      <c r="K26" s="84"/>
      <c r="L26" s="235"/>
    </row>
    <row r="27" spans="1:12" x14ac:dyDescent="0.2">
      <c r="A27" s="68" t="s">
        <v>13</v>
      </c>
      <c r="B27" s="113">
        <v>1</v>
      </c>
      <c r="C27" s="96" t="s">
        <v>78</v>
      </c>
      <c r="D27" s="59">
        <v>4300</v>
      </c>
      <c r="E27" s="59">
        <v>6000</v>
      </c>
      <c r="F27" s="54">
        <v>6000</v>
      </c>
      <c r="G27" s="60">
        <v>4000</v>
      </c>
      <c r="H27" s="60">
        <v>5000</v>
      </c>
      <c r="I27" s="60">
        <v>4000</v>
      </c>
      <c r="J27" s="119">
        <f>SUMIFS(Cashbook!$G$8:$G$154,Cashbook!$J$8:$J$154,"Maintenance",Cashbook!$K$8:$K$154,1)</f>
        <v>800</v>
      </c>
      <c r="K27" s="60">
        <v>4000</v>
      </c>
      <c r="L27" s="61" t="s">
        <v>138</v>
      </c>
    </row>
    <row r="28" spans="1:12" x14ac:dyDescent="0.2">
      <c r="A28" s="58"/>
      <c r="B28" s="113">
        <v>2</v>
      </c>
      <c r="C28" s="96" t="s">
        <v>14</v>
      </c>
      <c r="D28" s="59">
        <v>1000</v>
      </c>
      <c r="E28" s="59">
        <v>1000</v>
      </c>
      <c r="F28" s="54">
        <v>1000</v>
      </c>
      <c r="G28" s="60">
        <v>1000</v>
      </c>
      <c r="H28" s="60">
        <v>500</v>
      </c>
      <c r="I28" s="60">
        <v>500</v>
      </c>
      <c r="J28" s="119">
        <f>SUMIFS(Cashbook!$G$8:$G$154,Cashbook!$J$8:$J$154,"Maintenance",Cashbook!$K$8:$K$154,2)</f>
        <v>0</v>
      </c>
      <c r="K28" s="60">
        <v>250</v>
      </c>
      <c r="L28" s="61" t="s">
        <v>124</v>
      </c>
    </row>
    <row r="29" spans="1:12" ht="13.5" thickBot="1" x14ac:dyDescent="0.25">
      <c r="A29" s="58"/>
      <c r="B29" s="113">
        <v>3</v>
      </c>
      <c r="C29" s="62" t="s">
        <v>153</v>
      </c>
      <c r="D29" s="63"/>
      <c r="E29" s="63"/>
      <c r="F29" s="64"/>
      <c r="G29" s="65"/>
      <c r="H29" s="65"/>
      <c r="I29" s="65">
        <v>100</v>
      </c>
      <c r="J29" s="120">
        <f>SUMIFS(Cashbook!$G$8:$G$154,Cashbook!$J$8:$J$154,"Maintenance",Cashbook!$K$8:$K$154,3)</f>
        <v>0</v>
      </c>
      <c r="K29" s="65">
        <v>250</v>
      </c>
      <c r="L29" s="61" t="s">
        <v>163</v>
      </c>
    </row>
    <row r="30" spans="1:12" x14ac:dyDescent="0.2">
      <c r="A30" s="58"/>
      <c r="B30" s="113"/>
      <c r="C30" s="114" t="s">
        <v>86</v>
      </c>
      <c r="D30" s="66">
        <f>SUM(D27:D28)</f>
        <v>5300</v>
      </c>
      <c r="E30" s="66">
        <f>SUM(E27:E28)</f>
        <v>7000</v>
      </c>
      <c r="F30" s="66">
        <f>SUM(F27:F28)</f>
        <v>7000</v>
      </c>
      <c r="G30" s="66">
        <f>SUM(G27:G28)</f>
        <v>5000</v>
      </c>
      <c r="H30" s="66">
        <f>SUM(H27:H28)</f>
        <v>5500</v>
      </c>
      <c r="I30" s="66">
        <v>4600</v>
      </c>
      <c r="J30" s="121">
        <f>SUM(J27:J29)</f>
        <v>800</v>
      </c>
      <c r="K30" s="66">
        <f>SUM(K27:K29)</f>
        <v>4500</v>
      </c>
      <c r="L30" s="67"/>
    </row>
    <row r="31" spans="1:12" x14ac:dyDescent="0.2">
      <c r="A31" s="58"/>
      <c r="B31" s="109"/>
      <c r="C31" s="98"/>
      <c r="D31" s="76"/>
      <c r="E31" s="59"/>
      <c r="F31" s="54"/>
      <c r="G31" s="60"/>
      <c r="H31" s="60"/>
      <c r="I31" s="60"/>
      <c r="J31" s="119"/>
      <c r="K31" s="60"/>
      <c r="L31" s="61"/>
    </row>
    <row r="32" spans="1:12" x14ac:dyDescent="0.2">
      <c r="A32" s="68" t="s">
        <v>15</v>
      </c>
      <c r="B32" s="110">
        <v>1</v>
      </c>
      <c r="C32" s="99" t="s">
        <v>11</v>
      </c>
      <c r="D32" s="59">
        <v>8000</v>
      </c>
      <c r="E32" s="59">
        <v>7000</v>
      </c>
      <c r="F32" s="54">
        <v>4000</v>
      </c>
      <c r="G32" s="60">
        <v>6500</v>
      </c>
      <c r="H32" s="60">
        <v>6500</v>
      </c>
      <c r="I32" s="60">
        <v>4000</v>
      </c>
      <c r="J32" s="119">
        <f>SUMIFS(Cashbook!$G$8:$G$154,Cashbook!$J$8:$J$154,"Running costs",Cashbook!$K$8:$K$154,1)</f>
        <v>1086.78</v>
      </c>
      <c r="K32" s="60">
        <v>3000</v>
      </c>
      <c r="L32" s="61"/>
    </row>
    <row r="33" spans="1:12" x14ac:dyDescent="0.2">
      <c r="A33" s="58"/>
      <c r="B33" s="109">
        <v>2</v>
      </c>
      <c r="C33" s="99" t="s">
        <v>16</v>
      </c>
      <c r="D33" s="59">
        <v>270</v>
      </c>
      <c r="E33" s="59">
        <v>400</v>
      </c>
      <c r="F33" s="54">
        <v>1000</v>
      </c>
      <c r="G33" s="60">
        <v>1000</v>
      </c>
      <c r="H33" s="60">
        <v>1000</v>
      </c>
      <c r="I33" s="60"/>
      <c r="J33" s="119">
        <f>SUMIFS(Cashbook!$G$8:$G$154,Cashbook!$J$8:$J$154,"Running costs",Cashbook!$K$8:$K$154,2)</f>
        <v>0</v>
      </c>
      <c r="K33" s="60"/>
      <c r="L33" s="61" t="s">
        <v>168</v>
      </c>
    </row>
    <row r="34" spans="1:12" x14ac:dyDescent="0.2">
      <c r="A34" s="58"/>
      <c r="B34" s="109">
        <v>3</v>
      </c>
      <c r="C34" s="96" t="s">
        <v>125</v>
      </c>
      <c r="D34" s="59">
        <v>200</v>
      </c>
      <c r="E34" s="59">
        <v>200</v>
      </c>
      <c r="F34" s="54">
        <v>200</v>
      </c>
      <c r="G34" s="60"/>
      <c r="H34" s="60"/>
      <c r="I34" s="60"/>
      <c r="J34" s="119">
        <f>SUMIFS(Cashbook!$G$8:$G$154,Cashbook!$J$8:$J$154,"Running costs",Cashbook!$K$8:$K$154,3)</f>
        <v>154.1</v>
      </c>
      <c r="K34" s="60">
        <v>100</v>
      </c>
      <c r="L34" s="61"/>
    </row>
    <row r="35" spans="1:12" x14ac:dyDescent="0.2">
      <c r="A35" s="58"/>
      <c r="B35" s="109">
        <v>4</v>
      </c>
      <c r="C35" s="96" t="s">
        <v>152</v>
      </c>
      <c r="D35" s="59">
        <v>320</v>
      </c>
      <c r="E35" s="59">
        <v>300</v>
      </c>
      <c r="F35" s="54">
        <v>300</v>
      </c>
      <c r="G35" s="60">
        <v>0</v>
      </c>
      <c r="H35" s="60"/>
      <c r="I35" s="60">
        <v>300</v>
      </c>
      <c r="J35" s="119">
        <f>SUMIFS(Cashbook!$G$8:$G$154,Cashbook!$J$8:$J$154,"Running costs",Cashbook!$K$8:$K$154,4)</f>
        <v>47</v>
      </c>
      <c r="K35" s="60">
        <v>300</v>
      </c>
      <c r="L35" s="61" t="s">
        <v>154</v>
      </c>
    </row>
    <row r="36" spans="1:12" x14ac:dyDescent="0.2">
      <c r="A36" s="58"/>
      <c r="B36" s="109">
        <v>5</v>
      </c>
      <c r="C36" s="96" t="s">
        <v>126</v>
      </c>
      <c r="D36" s="59"/>
      <c r="E36" s="59"/>
      <c r="F36" s="54"/>
      <c r="G36" s="60">
        <v>50</v>
      </c>
      <c r="H36" s="60">
        <v>50</v>
      </c>
      <c r="I36" s="60">
        <v>150</v>
      </c>
      <c r="J36" s="119">
        <f>SUMIFS(Cashbook!$G$8:$G$154,Cashbook!$J$8:$J$154,"Running costs",Cashbook!$K$8:$K$154,5)</f>
        <v>0</v>
      </c>
      <c r="K36" s="60">
        <v>150</v>
      </c>
      <c r="L36" s="61"/>
    </row>
    <row r="37" spans="1:12" ht="25.5" x14ac:dyDescent="0.2">
      <c r="A37" s="58"/>
      <c r="B37" s="109">
        <v>6</v>
      </c>
      <c r="C37" s="96" t="s">
        <v>127</v>
      </c>
      <c r="D37" s="59"/>
      <c r="E37" s="59"/>
      <c r="F37" s="54"/>
      <c r="G37" s="60">
        <v>100</v>
      </c>
      <c r="H37" s="60">
        <v>100</v>
      </c>
      <c r="I37" s="60">
        <v>100</v>
      </c>
      <c r="J37" s="119">
        <f>SUMIFS(Cashbook!$G$8:$G$154,Cashbook!$J$8:$J$154,"Running costs",Cashbook!$K$8:$K$154,6)</f>
        <v>0</v>
      </c>
      <c r="K37" s="60">
        <v>100</v>
      </c>
      <c r="L37" s="61" t="s">
        <v>128</v>
      </c>
    </row>
    <row r="38" spans="1:12" x14ac:dyDescent="0.2">
      <c r="A38" s="58"/>
      <c r="B38" s="109">
        <v>7</v>
      </c>
      <c r="C38" s="96" t="s">
        <v>22</v>
      </c>
      <c r="D38" s="59">
        <v>320</v>
      </c>
      <c r="E38" s="59">
        <v>350</v>
      </c>
      <c r="F38" s="54">
        <v>500</v>
      </c>
      <c r="G38" s="60">
        <v>500</v>
      </c>
      <c r="H38" s="60">
        <v>500</v>
      </c>
      <c r="I38" s="60">
        <v>200</v>
      </c>
      <c r="J38" s="119">
        <f>SUMIFS(Cashbook!$G$8:$G$154,Cashbook!$J$8:$J$154,"Running costs",Cashbook!$K$8:$K$154,7)</f>
        <v>0</v>
      </c>
      <c r="K38" s="60">
        <v>300</v>
      </c>
      <c r="L38" s="61" t="s">
        <v>221</v>
      </c>
    </row>
    <row r="39" spans="1:12" ht="25.5" x14ac:dyDescent="0.2">
      <c r="A39" s="58"/>
      <c r="B39" s="109">
        <v>8</v>
      </c>
      <c r="C39" s="96" t="s">
        <v>79</v>
      </c>
      <c r="D39" s="59">
        <v>25</v>
      </c>
      <c r="E39" s="59">
        <v>25</v>
      </c>
      <c r="F39" s="54">
        <v>25</v>
      </c>
      <c r="G39" s="60">
        <v>25</v>
      </c>
      <c r="H39" s="60">
        <v>25</v>
      </c>
      <c r="I39" s="60">
        <v>25</v>
      </c>
      <c r="J39" s="119">
        <f>SUMIFS(Cashbook!$G$8:$G$154,Cashbook!$J$8:$J$154,"Running costs",Cashbook!$K$8:$K$154,8)</f>
        <v>0</v>
      </c>
      <c r="K39" s="60">
        <v>0</v>
      </c>
      <c r="L39" s="61" t="s">
        <v>129</v>
      </c>
    </row>
    <row r="40" spans="1:12" x14ac:dyDescent="0.2">
      <c r="A40" s="58"/>
      <c r="B40" s="109">
        <v>9</v>
      </c>
      <c r="C40" s="96" t="s">
        <v>23</v>
      </c>
      <c r="D40" s="59">
        <v>250</v>
      </c>
      <c r="E40" s="59">
        <v>250</v>
      </c>
      <c r="F40" s="54">
        <v>150</v>
      </c>
      <c r="G40" s="60">
        <v>150</v>
      </c>
      <c r="H40" s="60">
        <v>900.00149999999996</v>
      </c>
      <c r="I40" s="60">
        <v>300</v>
      </c>
      <c r="J40" s="119">
        <f>SUMIFS(Cashbook!$G$8:$G$154,Cashbook!$J$8:$J$154,"Running costs",Cashbook!$K$8:$K$154,9)</f>
        <v>0</v>
      </c>
      <c r="K40" s="60">
        <v>300</v>
      </c>
      <c r="L40" s="61" t="s">
        <v>222</v>
      </c>
    </row>
    <row r="41" spans="1:12" ht="38.25" x14ac:dyDescent="0.2">
      <c r="A41" s="68" t="s">
        <v>91</v>
      </c>
      <c r="B41" s="109">
        <v>10</v>
      </c>
      <c r="C41" s="96" t="s">
        <v>2</v>
      </c>
      <c r="D41" s="59">
        <v>400</v>
      </c>
      <c r="E41" s="59">
        <v>400</v>
      </c>
      <c r="F41" s="54">
        <v>400</v>
      </c>
      <c r="G41" s="60">
        <v>450</v>
      </c>
      <c r="H41" s="60">
        <v>900</v>
      </c>
      <c r="I41" s="60">
        <v>1300</v>
      </c>
      <c r="J41" s="119">
        <f>SUMIFS(Cashbook!$G$8:$G$154,Cashbook!$J$8:$J$154,"Running costs",Cashbook!$K$8:$K$154,10)</f>
        <v>0</v>
      </c>
      <c r="K41" s="60">
        <v>1350</v>
      </c>
      <c r="L41" s="61" t="s">
        <v>139</v>
      </c>
    </row>
    <row r="42" spans="1:12" x14ac:dyDescent="0.2">
      <c r="A42" s="68"/>
      <c r="B42" s="109">
        <v>11</v>
      </c>
      <c r="C42" s="124" t="s">
        <v>24</v>
      </c>
      <c r="D42" s="125">
        <v>700</v>
      </c>
      <c r="E42" s="125">
        <v>700</v>
      </c>
      <c r="F42" s="78">
        <v>700</v>
      </c>
      <c r="G42" s="79">
        <v>1000</v>
      </c>
      <c r="H42" s="79">
        <v>1000</v>
      </c>
      <c r="I42" s="79">
        <v>700</v>
      </c>
      <c r="J42" s="122">
        <f>SUMIFS(Cashbook!$G$8:$G$154,Cashbook!$J$8:$J$154,"Running costs",Cashbook!$K$8:$K$154,11)</f>
        <v>0</v>
      </c>
      <c r="K42" s="79">
        <v>750</v>
      </c>
      <c r="L42" s="61"/>
    </row>
    <row r="43" spans="1:12" x14ac:dyDescent="0.2">
      <c r="A43" s="68"/>
      <c r="B43" s="109">
        <v>12</v>
      </c>
      <c r="C43" s="124" t="s">
        <v>46</v>
      </c>
      <c r="D43" s="125"/>
      <c r="E43" s="125"/>
      <c r="F43" s="78"/>
      <c r="G43" s="79"/>
      <c r="H43" s="79"/>
      <c r="I43" s="79"/>
      <c r="J43" s="122">
        <f>SUMIFS(Cashbook!$G$8:$G$154,Cashbook!$J$8:$J$154,"Running costs",Cashbook!$K$8:$K$154,12)</f>
        <v>103.5</v>
      </c>
      <c r="K43" s="79"/>
      <c r="L43" s="61"/>
    </row>
    <row r="44" spans="1:12" x14ac:dyDescent="0.2">
      <c r="A44" s="58"/>
      <c r="B44" s="240">
        <v>1</v>
      </c>
      <c r="C44" s="224" t="s">
        <v>212</v>
      </c>
      <c r="D44" s="125"/>
      <c r="E44" s="125"/>
      <c r="F44" s="78"/>
      <c r="G44" s="79"/>
      <c r="H44" s="79"/>
      <c r="I44" s="79"/>
      <c r="J44" s="246">
        <f>-SUMIFS(Cashbook!$F$8:$F$154,Cashbook!$J$8:$J$154,"Running costs",Cashbook!$K$8:$K$154,1)</f>
        <v>0</v>
      </c>
      <c r="K44" s="79"/>
      <c r="L44" s="232"/>
    </row>
    <row r="45" spans="1:12" ht="13.5" thickBot="1" x14ac:dyDescent="0.25">
      <c r="A45" s="58"/>
      <c r="B45" s="244"/>
      <c r="C45" s="245" t="s">
        <v>85</v>
      </c>
      <c r="D45" s="222">
        <f>SUM(D32:D44)</f>
        <v>10485</v>
      </c>
      <c r="E45" s="222">
        <f>SUM(E32:E44)</f>
        <v>9625</v>
      </c>
      <c r="F45" s="222">
        <f>SUM(F32:F44)</f>
        <v>7275</v>
      </c>
      <c r="G45" s="222">
        <f>SUM(G32:G44)</f>
        <v>9775</v>
      </c>
      <c r="H45" s="222">
        <f>SUM(H32:H44)</f>
        <v>10975.0015</v>
      </c>
      <c r="I45" s="222">
        <v>7075</v>
      </c>
      <c r="J45" s="223">
        <f>SUM(J32:J44)</f>
        <v>1391.3799999999999</v>
      </c>
      <c r="K45" s="222">
        <f>SUM(K32:K44)</f>
        <v>6350</v>
      </c>
      <c r="L45" s="239"/>
    </row>
    <row r="46" spans="1:12" ht="13.5" thickTop="1" x14ac:dyDescent="0.2">
      <c r="A46" s="58"/>
      <c r="B46" s="241"/>
      <c r="C46" s="242"/>
      <c r="D46" s="243"/>
      <c r="E46" s="66"/>
      <c r="F46" s="83"/>
      <c r="G46" s="84"/>
      <c r="H46" s="84"/>
      <c r="I46" s="84"/>
      <c r="J46" s="126"/>
      <c r="K46" s="84"/>
      <c r="L46" s="235"/>
    </row>
    <row r="47" spans="1:12" x14ac:dyDescent="0.2">
      <c r="A47" s="68" t="s">
        <v>10</v>
      </c>
      <c r="B47" s="106">
        <v>1</v>
      </c>
      <c r="C47" s="96" t="s">
        <v>17</v>
      </c>
      <c r="D47" s="59">
        <v>260</v>
      </c>
      <c r="E47" s="59">
        <v>250</v>
      </c>
      <c r="F47" s="54">
        <v>275</v>
      </c>
      <c r="G47" s="60">
        <v>300</v>
      </c>
      <c r="H47" s="60">
        <v>290</v>
      </c>
      <c r="I47" s="60">
        <v>300</v>
      </c>
      <c r="J47" s="119">
        <f>SUMIFS(Cashbook!$G$8:$G$154,Cashbook!$J$8:$J$154,"Memberships",Cashbook!$K$8:$K$154,1)</f>
        <v>0</v>
      </c>
      <c r="K47" s="60">
        <v>300</v>
      </c>
      <c r="L47" s="61"/>
    </row>
    <row r="48" spans="1:12" x14ac:dyDescent="0.2">
      <c r="A48" s="58"/>
      <c r="B48" s="111">
        <v>2</v>
      </c>
      <c r="C48" s="96" t="s">
        <v>18</v>
      </c>
      <c r="D48" s="59">
        <v>150</v>
      </c>
      <c r="E48" s="59">
        <v>140</v>
      </c>
      <c r="F48" s="54"/>
      <c r="G48" s="60">
        <v>150</v>
      </c>
      <c r="H48" s="60">
        <v>78</v>
      </c>
      <c r="I48" s="60">
        <v>80</v>
      </c>
      <c r="J48" s="119">
        <f>SUMIFS(Cashbook!$G$8:$G$154,Cashbook!$J$8:$J$154,"Memberships",Cashbook!$K$8:$K$154,2)</f>
        <v>0</v>
      </c>
      <c r="K48" s="60">
        <v>80</v>
      </c>
      <c r="L48" s="61"/>
    </row>
    <row r="49" spans="1:12" x14ac:dyDescent="0.2">
      <c r="A49" s="58"/>
      <c r="B49" s="111">
        <v>3</v>
      </c>
      <c r="C49" s="96" t="s">
        <v>19</v>
      </c>
      <c r="D49" s="59">
        <v>35</v>
      </c>
      <c r="E49" s="59">
        <v>35</v>
      </c>
      <c r="F49" s="54">
        <v>30</v>
      </c>
      <c r="G49" s="60">
        <v>50</v>
      </c>
      <c r="H49" s="60">
        <v>50</v>
      </c>
      <c r="I49" s="60">
        <v>50</v>
      </c>
      <c r="J49" s="119">
        <f>SUMIFS(Cashbook!$G$8:$G$154,Cashbook!$J$8:$J$154,"Memberships",Cashbook!$K$8:$K$154,3)</f>
        <v>0</v>
      </c>
      <c r="K49" s="60">
        <v>50</v>
      </c>
      <c r="L49" s="61"/>
    </row>
    <row r="50" spans="1:12" x14ac:dyDescent="0.2">
      <c r="A50" s="58"/>
      <c r="B50" s="111">
        <v>4</v>
      </c>
      <c r="C50" s="96" t="s">
        <v>20</v>
      </c>
      <c r="D50" s="59">
        <v>35</v>
      </c>
      <c r="E50" s="59">
        <v>35</v>
      </c>
      <c r="F50" s="54">
        <v>35</v>
      </c>
      <c r="G50" s="60">
        <v>35</v>
      </c>
      <c r="H50" s="60">
        <v>35</v>
      </c>
      <c r="I50" s="60">
        <v>35</v>
      </c>
      <c r="J50" s="119">
        <f>SUMIFS(Cashbook!$G$8:$G$154,Cashbook!$J$8:$J$154,"Memberships",Cashbook!$K$8:$K$154,4)</f>
        <v>0</v>
      </c>
      <c r="K50" s="60">
        <v>35</v>
      </c>
      <c r="L50" s="61"/>
    </row>
    <row r="51" spans="1:12" x14ac:dyDescent="0.2">
      <c r="A51" s="58"/>
      <c r="B51" s="111">
        <v>5</v>
      </c>
      <c r="C51" s="124" t="s">
        <v>161</v>
      </c>
      <c r="D51" s="125"/>
      <c r="E51" s="125"/>
      <c r="F51" s="78"/>
      <c r="G51" s="79"/>
      <c r="H51" s="79"/>
      <c r="I51" s="79">
        <v>50</v>
      </c>
      <c r="J51" s="119">
        <f>SUMIFS(Cashbook!$G$8:$G$154,Cashbook!$J$8:$J$154,"Memberships",Cashbook!$K$8:$K$154,5)</f>
        <v>0</v>
      </c>
      <c r="K51" s="79">
        <v>50</v>
      </c>
      <c r="L51" s="61"/>
    </row>
    <row r="52" spans="1:12" x14ac:dyDescent="0.2">
      <c r="A52" s="58"/>
      <c r="B52" s="111">
        <v>6</v>
      </c>
      <c r="C52" s="124" t="s">
        <v>21</v>
      </c>
      <c r="D52" s="125">
        <v>35</v>
      </c>
      <c r="E52" s="125">
        <v>35</v>
      </c>
      <c r="F52" s="78">
        <v>35</v>
      </c>
      <c r="G52" s="79">
        <v>35</v>
      </c>
      <c r="H52" s="79">
        <v>35</v>
      </c>
      <c r="I52" s="79">
        <v>35</v>
      </c>
      <c r="J52" s="122">
        <f>SUMIFS(Cashbook!$G$8:$G$154,Cashbook!$J$8:$J$154,"Memberships",Cashbook!$K$8:$K$154,6)</f>
        <v>0</v>
      </c>
      <c r="K52" s="79">
        <v>35</v>
      </c>
      <c r="L52" s="61"/>
    </row>
    <row r="53" spans="1:12" ht="13.5" thickBot="1" x14ac:dyDescent="0.25">
      <c r="A53" s="58"/>
      <c r="B53" s="111">
        <v>7</v>
      </c>
      <c r="C53" s="97" t="s">
        <v>46</v>
      </c>
      <c r="D53" s="63"/>
      <c r="E53" s="63"/>
      <c r="F53" s="64"/>
      <c r="G53" s="65"/>
      <c r="H53" s="65"/>
      <c r="I53" s="65"/>
      <c r="J53" s="120">
        <f>SUMIFS(Cashbook!$G$8:$G$154,Cashbook!$J$8:$J$154,"Memberships",Cashbook!$K$8:$K$154,7)</f>
        <v>0</v>
      </c>
      <c r="K53" s="65"/>
      <c r="L53" s="61"/>
    </row>
    <row r="54" spans="1:12" x14ac:dyDescent="0.2">
      <c r="A54" s="58"/>
      <c r="B54" s="111"/>
      <c r="C54" s="112" t="s">
        <v>84</v>
      </c>
      <c r="D54" s="77">
        <f>SUM(D47:D53)</f>
        <v>515</v>
      </c>
      <c r="E54" s="77">
        <f>SUM(E47:E53)</f>
        <v>495</v>
      </c>
      <c r="F54" s="77">
        <f>SUM(F47:F53)</f>
        <v>375</v>
      </c>
      <c r="G54" s="66">
        <f>SUM(G47:G53)</f>
        <v>570</v>
      </c>
      <c r="H54" s="66">
        <f>SUM(H47:H53)</f>
        <v>488</v>
      </c>
      <c r="I54" s="66">
        <v>550</v>
      </c>
      <c r="J54" s="121">
        <f t="shared" ref="J54:K54" si="2">SUM(J47:J53)</f>
        <v>0</v>
      </c>
      <c r="K54" s="66">
        <f t="shared" si="2"/>
        <v>550</v>
      </c>
      <c r="L54" s="67"/>
    </row>
    <row r="55" spans="1:12" x14ac:dyDescent="0.2">
      <c r="A55" s="58"/>
      <c r="B55" s="105"/>
      <c r="C55" s="98"/>
      <c r="D55" s="59"/>
      <c r="E55" s="59"/>
      <c r="F55" s="54"/>
      <c r="G55" s="60"/>
      <c r="H55" s="60"/>
      <c r="I55" s="60"/>
      <c r="J55" s="119"/>
      <c r="K55" s="60"/>
      <c r="L55" s="61"/>
    </row>
    <row r="56" spans="1:12" x14ac:dyDescent="0.2">
      <c r="A56" s="58"/>
      <c r="B56" s="115">
        <v>1</v>
      </c>
      <c r="C56" s="99" t="s">
        <v>25</v>
      </c>
      <c r="D56" s="59">
        <v>500</v>
      </c>
      <c r="E56" s="59">
        <v>450</v>
      </c>
      <c r="F56" s="54">
        <v>450</v>
      </c>
      <c r="G56" s="60">
        <v>450</v>
      </c>
      <c r="H56" s="60">
        <v>450</v>
      </c>
      <c r="I56" s="60">
        <v>450</v>
      </c>
      <c r="J56" s="119">
        <f>SUMIFS(Cashbook!$G$8:$G$154,Cashbook!$J$8:$J$154,"Audit and legal",Cashbook!$K$8:$K$154,1)</f>
        <v>200</v>
      </c>
      <c r="K56" s="60">
        <v>450</v>
      </c>
      <c r="L56" s="61"/>
    </row>
    <row r="57" spans="1:12" ht="13.5" thickBot="1" x14ac:dyDescent="0.25">
      <c r="A57" s="58"/>
      <c r="B57" s="115">
        <v>2</v>
      </c>
      <c r="C57" s="100" t="s">
        <v>116</v>
      </c>
      <c r="D57" s="63">
        <v>200</v>
      </c>
      <c r="E57" s="63">
        <v>200</v>
      </c>
      <c r="F57" s="64">
        <v>200</v>
      </c>
      <c r="G57" s="65">
        <v>200</v>
      </c>
      <c r="H57" s="65">
        <v>200</v>
      </c>
      <c r="I57" s="65">
        <v>200</v>
      </c>
      <c r="J57" s="120">
        <f>SUMIFS(Cashbook!$G$8:$G$154,Cashbook!$J$8:$J$154,"Audit and legal",Cashbook!$K$8:$K$154,2)</f>
        <v>0</v>
      </c>
      <c r="K57" s="65">
        <v>200</v>
      </c>
      <c r="L57" s="61"/>
    </row>
    <row r="58" spans="1:12" x14ac:dyDescent="0.2">
      <c r="A58" s="58"/>
      <c r="B58" s="115"/>
      <c r="C58" s="116" t="s">
        <v>83</v>
      </c>
      <c r="D58" s="66">
        <f>SUM(D56:D57)</f>
        <v>700</v>
      </c>
      <c r="E58" s="66">
        <f t="shared" ref="E58:K58" si="3">SUM(E56:E57)</f>
        <v>650</v>
      </c>
      <c r="F58" s="66">
        <f t="shared" si="3"/>
        <v>650</v>
      </c>
      <c r="G58" s="66">
        <f t="shared" si="3"/>
        <v>650</v>
      </c>
      <c r="H58" s="66">
        <f t="shared" si="3"/>
        <v>650</v>
      </c>
      <c r="I58" s="66">
        <v>650</v>
      </c>
      <c r="J58" s="121">
        <f t="shared" si="3"/>
        <v>200</v>
      </c>
      <c r="K58" s="66">
        <f t="shared" si="3"/>
        <v>650</v>
      </c>
      <c r="L58" s="67"/>
    </row>
    <row r="59" spans="1:12" x14ac:dyDescent="0.2">
      <c r="A59" s="58"/>
      <c r="B59" s="105"/>
      <c r="C59" s="101" t="s">
        <v>170</v>
      </c>
      <c r="D59" s="137"/>
      <c r="E59" s="137"/>
      <c r="F59" s="138"/>
      <c r="G59" s="127"/>
      <c r="H59" s="127"/>
      <c r="I59" s="127"/>
      <c r="J59" s="122">
        <f>Cashbook!H155</f>
        <v>172.84999999999997</v>
      </c>
      <c r="K59" s="79"/>
      <c r="L59" s="61"/>
    </row>
    <row r="60" spans="1:12" ht="13.5" thickBot="1" x14ac:dyDescent="0.25">
      <c r="A60" s="58"/>
      <c r="B60" s="105"/>
      <c r="C60" s="102" t="s">
        <v>226</v>
      </c>
      <c r="D60" s="80">
        <f>SUM(D58,D54,D45,D30,D25,D11)</f>
        <v>27000</v>
      </c>
      <c r="E60" s="80">
        <f>SUM(E58,E54,E45,E30,E25,E11)</f>
        <v>36370</v>
      </c>
      <c r="F60" s="80">
        <f>SUM(F58,F54,F45,F30,F25,F11)</f>
        <v>37686</v>
      </c>
      <c r="G60" s="80">
        <f>SUM(G58,G54,G45,G30,G25,G11)</f>
        <v>34105</v>
      </c>
      <c r="H60" s="80">
        <f>SUM(H58,H54,H45,H30,H25,H11)</f>
        <v>61709.001499999998</v>
      </c>
      <c r="I60" s="80">
        <v>27785</v>
      </c>
      <c r="J60" s="123">
        <f>SUM(J58,J59,J54,J45,J30,J25,J11)</f>
        <v>7043.7999999999993</v>
      </c>
      <c r="K60" s="80">
        <f>SUM(K58,K54,K45,K30,K25,K11)</f>
        <v>36860</v>
      </c>
      <c r="L60" s="71"/>
    </row>
    <row r="61" spans="1:12" ht="13.5" thickTop="1" x14ac:dyDescent="0.2">
      <c r="A61" s="81" t="s">
        <v>5</v>
      </c>
      <c r="B61" s="106"/>
      <c r="C61" s="103"/>
      <c r="D61" s="82"/>
      <c r="E61" s="66"/>
      <c r="F61" s="83"/>
      <c r="G61" s="84"/>
      <c r="H61" s="84"/>
      <c r="I61" s="84"/>
      <c r="J61" s="247"/>
      <c r="K61" s="84"/>
      <c r="L61" s="61"/>
    </row>
    <row r="62" spans="1:12" x14ac:dyDescent="0.2">
      <c r="A62" s="58"/>
      <c r="B62" s="105"/>
      <c r="C62" s="255" t="s">
        <v>231</v>
      </c>
      <c r="D62" s="85" t="s">
        <v>117</v>
      </c>
      <c r="E62" s="86" t="s">
        <v>118</v>
      </c>
      <c r="F62" s="87" t="s">
        <v>119</v>
      </c>
      <c r="G62" s="88" t="s">
        <v>135</v>
      </c>
      <c r="H62" s="88" t="s">
        <v>136</v>
      </c>
      <c r="I62" s="88" t="s">
        <v>144</v>
      </c>
      <c r="J62" s="248"/>
      <c r="K62" s="88">
        <v>100.95</v>
      </c>
      <c r="L62" s="61"/>
    </row>
    <row r="63" spans="1:12" ht="25.5" x14ac:dyDescent="0.2">
      <c r="A63" s="58"/>
      <c r="B63" s="105"/>
      <c r="C63" s="99" t="s">
        <v>80</v>
      </c>
      <c r="D63" s="89"/>
      <c r="E63" s="90">
        <v>20000</v>
      </c>
      <c r="F63" s="54">
        <v>35000</v>
      </c>
      <c r="G63" s="60">
        <v>25000</v>
      </c>
      <c r="H63" s="60">
        <v>25000</v>
      </c>
      <c r="I63" s="60">
        <v>9000</v>
      </c>
      <c r="J63" s="249"/>
      <c r="K63" s="60">
        <f>J74</f>
        <v>27624.2</v>
      </c>
      <c r="L63" s="61" t="s">
        <v>229</v>
      </c>
    </row>
    <row r="64" spans="1:12" x14ac:dyDescent="0.2">
      <c r="A64" s="58"/>
      <c r="B64" s="117">
        <v>1</v>
      </c>
      <c r="C64" s="99" t="s">
        <v>8</v>
      </c>
      <c r="D64" s="89"/>
      <c r="E64" s="90">
        <v>23795</v>
      </c>
      <c r="F64" s="54">
        <v>24393</v>
      </c>
      <c r="G64" s="60">
        <v>24710</v>
      </c>
      <c r="H64" s="60">
        <v>24710</v>
      </c>
      <c r="I64" s="60">
        <v>25451</v>
      </c>
      <c r="J64" s="249">
        <f>SUMIFS(Cashbook!$F$8:$F$154,Cashbook!$J$8:$J$154,"Receipts",Cashbook!$K$8:$K$154,1)</f>
        <v>0</v>
      </c>
      <c r="K64" s="60">
        <v>28206</v>
      </c>
      <c r="L64" s="61" t="s">
        <v>228</v>
      </c>
    </row>
    <row r="65" spans="1:12" x14ac:dyDescent="0.2">
      <c r="A65" s="58"/>
      <c r="B65" s="117">
        <v>2</v>
      </c>
      <c r="C65" s="99" t="s">
        <v>120</v>
      </c>
      <c r="D65" s="89"/>
      <c r="E65" s="90">
        <v>1134</v>
      </c>
      <c r="F65" s="54">
        <v>874</v>
      </c>
      <c r="G65" s="60">
        <v>874</v>
      </c>
      <c r="H65" s="60">
        <v>874</v>
      </c>
      <c r="I65" s="60">
        <v>217</v>
      </c>
      <c r="J65" s="249">
        <f>SUMIFS(Cashbook!$F$8:$F$154,Cashbook!$J$8:$J$154,"Receipts",Cashbook!$K$8:$K$154,2)</f>
        <v>20752</v>
      </c>
      <c r="K65" s="60"/>
      <c r="L65" s="61"/>
    </row>
    <row r="66" spans="1:12" x14ac:dyDescent="0.2">
      <c r="A66" s="58"/>
      <c r="B66" s="117">
        <v>3</v>
      </c>
      <c r="C66" s="99" t="s">
        <v>45</v>
      </c>
      <c r="D66" s="89"/>
      <c r="E66" s="90">
        <v>30</v>
      </c>
      <c r="F66" s="54">
        <v>30</v>
      </c>
      <c r="G66" s="60">
        <v>30</v>
      </c>
      <c r="H66" s="60">
        <v>30</v>
      </c>
      <c r="I66" s="60">
        <v>30</v>
      </c>
      <c r="J66" s="249">
        <f>SUMIFS(Cashbook!$F$8:$F$154,Cashbook!$J$8:$J$154,"Receipts",Cashbook!$K$8:$K$154,3)</f>
        <v>1.28</v>
      </c>
      <c r="K66" s="60">
        <v>10</v>
      </c>
      <c r="L66" s="61"/>
    </row>
    <row r="67" spans="1:12" x14ac:dyDescent="0.2">
      <c r="A67" s="58"/>
      <c r="B67" s="117">
        <v>4</v>
      </c>
      <c r="C67" s="99" t="s">
        <v>81</v>
      </c>
      <c r="D67" s="89"/>
      <c r="E67" s="90">
        <v>134</v>
      </c>
      <c r="F67" s="54">
        <v>300</v>
      </c>
      <c r="G67" s="60">
        <v>3786.16</v>
      </c>
      <c r="H67" s="60">
        <v>850</v>
      </c>
      <c r="I67" s="60"/>
      <c r="J67" s="249">
        <f>SUMIFS(Cashbook!$F$8:$F$154,Cashbook!$J$8:$J$154,"Receipts",Cashbook!$K$8:$K$154,4)</f>
        <v>0</v>
      </c>
      <c r="K67" s="60">
        <f>Cashbook!H155</f>
        <v>172.84999999999997</v>
      </c>
      <c r="L67" s="61" t="s">
        <v>235</v>
      </c>
    </row>
    <row r="68" spans="1:12" x14ac:dyDescent="0.2">
      <c r="A68" s="58"/>
      <c r="B68" s="117">
        <v>5</v>
      </c>
      <c r="C68" s="99" t="s">
        <v>157</v>
      </c>
      <c r="D68" s="132"/>
      <c r="E68" s="133"/>
      <c r="F68" s="78"/>
      <c r="G68" s="79"/>
      <c r="H68" s="79"/>
      <c r="I68" s="79"/>
      <c r="J68" s="246">
        <f>SUMIFS(Cashbook!$F$8:$F$154,Cashbook!$J$8:$J$154,"Receipts",Cashbook!$K$8:$K$154,5)</f>
        <v>50</v>
      </c>
      <c r="K68" s="79"/>
      <c r="L68" s="61"/>
    </row>
    <row r="69" spans="1:12" x14ac:dyDescent="0.2">
      <c r="A69" s="58"/>
      <c r="B69" s="117"/>
      <c r="C69" s="118" t="s">
        <v>164</v>
      </c>
      <c r="D69" s="135"/>
      <c r="E69" s="136">
        <f t="shared" ref="E69:J69" si="4">SUM(E63:E68)</f>
        <v>45093</v>
      </c>
      <c r="F69" s="136">
        <f t="shared" si="4"/>
        <v>60597</v>
      </c>
      <c r="G69" s="136">
        <f t="shared" si="4"/>
        <v>54400.160000000003</v>
      </c>
      <c r="H69" s="136">
        <f t="shared" si="4"/>
        <v>51464</v>
      </c>
      <c r="I69" s="136">
        <v>34668</v>
      </c>
      <c r="J69" s="250">
        <f t="shared" si="4"/>
        <v>20803.28</v>
      </c>
      <c r="K69" s="136">
        <f>SUM(K63:K68)</f>
        <v>56013.049999999996</v>
      </c>
      <c r="L69" s="61"/>
    </row>
    <row r="70" spans="1:12" x14ac:dyDescent="0.2">
      <c r="A70" s="58"/>
      <c r="B70" s="105"/>
      <c r="C70" s="98" t="s">
        <v>236</v>
      </c>
      <c r="D70" s="83"/>
      <c r="E70" s="134"/>
      <c r="F70" s="83"/>
      <c r="G70" s="84"/>
      <c r="H70" s="84"/>
      <c r="I70" s="84"/>
      <c r="J70" s="247"/>
      <c r="K70" s="84">
        <f>SUM(K69)-K60</f>
        <v>19153.049999999996</v>
      </c>
      <c r="L70" s="61" t="s">
        <v>237</v>
      </c>
    </row>
    <row r="71" spans="1:12" x14ac:dyDescent="0.2">
      <c r="A71" s="91" t="s">
        <v>26</v>
      </c>
      <c r="B71" s="107"/>
      <c r="C71" s="98"/>
      <c r="D71" s="54"/>
      <c r="E71" s="76"/>
      <c r="F71" s="54"/>
      <c r="G71" s="60"/>
      <c r="H71" s="60"/>
      <c r="I71" s="60"/>
      <c r="J71" s="249"/>
      <c r="K71" s="60"/>
      <c r="L71" s="61"/>
    </row>
    <row r="72" spans="1:12" ht="25.5" x14ac:dyDescent="0.2">
      <c r="A72" s="58"/>
      <c r="B72" s="105"/>
      <c r="C72" s="99" t="s">
        <v>225</v>
      </c>
      <c r="D72" s="89"/>
      <c r="E72" s="59">
        <v>18000</v>
      </c>
      <c r="F72" s="54">
        <v>20000</v>
      </c>
      <c r="G72" s="60">
        <v>20000</v>
      </c>
      <c r="H72" s="60">
        <v>22000</v>
      </c>
      <c r="I72" s="60">
        <v>22000</v>
      </c>
      <c r="J72" s="249">
        <f>SUM(I69)-J60</f>
        <v>27624.2</v>
      </c>
      <c r="K72" s="60"/>
      <c r="L72" s="61" t="s">
        <v>230</v>
      </c>
    </row>
    <row r="73" spans="1:12" x14ac:dyDescent="0.2">
      <c r="A73" s="58"/>
      <c r="B73" s="105"/>
      <c r="C73" s="96" t="s">
        <v>130</v>
      </c>
      <c r="D73" s="92"/>
      <c r="E73" s="76"/>
      <c r="F73" s="54"/>
      <c r="G73" s="60">
        <v>1827</v>
      </c>
      <c r="H73" s="79"/>
      <c r="I73" s="79"/>
      <c r="J73" s="246"/>
      <c r="K73" s="79"/>
      <c r="L73" s="61"/>
    </row>
    <row r="74" spans="1:12" x14ac:dyDescent="0.2">
      <c r="A74" s="58"/>
      <c r="B74" s="105"/>
      <c r="C74" s="93" t="s">
        <v>82</v>
      </c>
      <c r="D74" s="94"/>
      <c r="E74" s="128">
        <f t="shared" ref="E74:G74" si="5">SUM(E72:E73)</f>
        <v>18000</v>
      </c>
      <c r="F74" s="129">
        <f t="shared" si="5"/>
        <v>20000</v>
      </c>
      <c r="G74" s="130">
        <f t="shared" si="5"/>
        <v>21827</v>
      </c>
      <c r="H74" s="130">
        <f>SUM(H72:H73)</f>
        <v>22000</v>
      </c>
      <c r="I74" s="130">
        <v>22000</v>
      </c>
      <c r="J74" s="251">
        <f t="shared" ref="J74" si="6">SUM(J72:J73)</f>
        <v>27624.2</v>
      </c>
      <c r="K74" s="130">
        <f>SUM(K70:K73)</f>
        <v>19153.049999999996</v>
      </c>
      <c r="L74" s="95"/>
    </row>
    <row r="75" spans="1:12" ht="13.5" thickBot="1" x14ac:dyDescent="0.25">
      <c r="B75" s="105"/>
      <c r="C75" s="50" t="s">
        <v>169</v>
      </c>
      <c r="D75" s="57"/>
      <c r="E75" s="131">
        <f t="shared" ref="E75:G75" si="7">SUM(E69)-E74</f>
        <v>27093</v>
      </c>
      <c r="F75" s="131">
        <f t="shared" si="7"/>
        <v>40597</v>
      </c>
      <c r="G75" s="131">
        <f t="shared" si="7"/>
        <v>32573.160000000003</v>
      </c>
      <c r="H75" s="131">
        <f t="shared" ref="H75" si="8">SUM(H69)-H74</f>
        <v>29464</v>
      </c>
      <c r="I75" s="131">
        <v>12668</v>
      </c>
      <c r="J75" s="252">
        <f>SUM(J69,J74)</f>
        <v>48427.479999999996</v>
      </c>
      <c r="K75" s="131">
        <f>SUM(K69)-K74</f>
        <v>36860</v>
      </c>
      <c r="L75" s="55" t="s">
        <v>223</v>
      </c>
    </row>
    <row r="76" spans="1:12" ht="13.5" thickTop="1" x14ac:dyDescent="0.2"/>
  </sheetData>
  <printOptions headings="1"/>
  <pageMargins left="0.31496062992125984" right="0.31496062992125984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tabSelected="1" topLeftCell="A13" zoomScale="150" zoomScaleNormal="150" workbookViewId="0">
      <selection sqref="A1:E35"/>
    </sheetView>
  </sheetViews>
  <sheetFormatPr defaultColWidth="8.85546875" defaultRowHeight="12.75" x14ac:dyDescent="0.2"/>
  <cols>
    <col min="1" max="1" width="38.28515625" style="3" customWidth="1"/>
    <col min="2" max="2" width="15.28515625" customWidth="1"/>
    <col min="3" max="3" width="14.85546875" style="1" customWidth="1"/>
    <col min="4" max="4" width="16.28515625" customWidth="1"/>
    <col min="5" max="5" width="15.85546875" customWidth="1"/>
  </cols>
  <sheetData>
    <row r="1" spans="1:5" x14ac:dyDescent="0.2">
      <c r="A1" s="2" t="s">
        <v>3</v>
      </c>
      <c r="B1" s="4"/>
    </row>
    <row r="2" spans="1:5" x14ac:dyDescent="0.2">
      <c r="A2" s="2"/>
      <c r="B2" s="4"/>
    </row>
    <row r="3" spans="1:5" x14ac:dyDescent="0.2">
      <c r="A3" s="2" t="s">
        <v>1</v>
      </c>
      <c r="B3" s="4"/>
    </row>
    <row r="5" spans="1:5" ht="38.25" x14ac:dyDescent="0.2">
      <c r="A5" s="19" t="s">
        <v>42</v>
      </c>
      <c r="B5" s="10" t="s">
        <v>59</v>
      </c>
      <c r="C5" s="10" t="s">
        <v>103</v>
      </c>
      <c r="D5" s="10" t="s">
        <v>104</v>
      </c>
      <c r="E5" s="10" t="s">
        <v>105</v>
      </c>
    </row>
    <row r="7" spans="1:5" ht="14.25" x14ac:dyDescent="0.3">
      <c r="A7" s="8" t="s">
        <v>60</v>
      </c>
      <c r="B7" s="13">
        <v>1</v>
      </c>
      <c r="C7" s="13">
        <v>1</v>
      </c>
      <c r="D7" s="13">
        <v>1</v>
      </c>
      <c r="E7" s="13">
        <v>1</v>
      </c>
    </row>
    <row r="8" spans="1:5" ht="14.25" x14ac:dyDescent="0.3">
      <c r="A8" s="8" t="s">
        <v>61</v>
      </c>
      <c r="B8" s="13">
        <v>1</v>
      </c>
      <c r="C8" s="13">
        <v>1</v>
      </c>
      <c r="D8" s="13">
        <v>1</v>
      </c>
      <c r="E8" s="13">
        <v>1</v>
      </c>
    </row>
    <row r="9" spans="1:5" ht="14.25" x14ac:dyDescent="0.3">
      <c r="A9" s="8" t="s">
        <v>62</v>
      </c>
      <c r="B9" s="13">
        <v>1</v>
      </c>
      <c r="C9" s="13">
        <v>1</v>
      </c>
      <c r="D9" s="13">
        <v>1</v>
      </c>
      <c r="E9" s="13">
        <v>1</v>
      </c>
    </row>
    <row r="10" spans="1:5" ht="14.25" x14ac:dyDescent="0.3">
      <c r="A10" s="8" t="s">
        <v>63</v>
      </c>
      <c r="B10" s="13">
        <v>1</v>
      </c>
      <c r="C10" s="13">
        <v>1</v>
      </c>
      <c r="D10" s="13">
        <v>1</v>
      </c>
      <c r="E10" s="13">
        <v>1</v>
      </c>
    </row>
    <row r="11" spans="1:5" x14ac:dyDescent="0.2">
      <c r="A11"/>
      <c r="C11"/>
    </row>
    <row r="12" spans="1:5" ht="14.25" x14ac:dyDescent="0.3">
      <c r="A12" s="8" t="s">
        <v>65</v>
      </c>
      <c r="B12" s="13">
        <v>705</v>
      </c>
      <c r="C12" s="13">
        <v>705</v>
      </c>
      <c r="D12" s="13">
        <v>705</v>
      </c>
      <c r="E12" s="13">
        <v>705</v>
      </c>
    </row>
    <row r="13" spans="1:5" ht="14.25" x14ac:dyDescent="0.3">
      <c r="A13" s="8"/>
      <c r="B13" s="13"/>
      <c r="C13" s="13"/>
      <c r="D13" s="13"/>
      <c r="E13" s="13"/>
    </row>
    <row r="14" spans="1:5" ht="32.1" customHeight="1" x14ac:dyDescent="0.2">
      <c r="A14" s="17" t="s">
        <v>66</v>
      </c>
      <c r="B14" s="18">
        <v>925</v>
      </c>
      <c r="C14" s="18">
        <v>925</v>
      </c>
      <c r="D14" s="18">
        <v>925</v>
      </c>
      <c r="E14" s="18">
        <v>925</v>
      </c>
    </row>
    <row r="15" spans="1:5" ht="28.5" x14ac:dyDescent="0.2">
      <c r="A15" s="17" t="s">
        <v>67</v>
      </c>
      <c r="B15" s="18">
        <v>150</v>
      </c>
      <c r="C15" s="18">
        <v>150</v>
      </c>
      <c r="D15" s="18">
        <v>150</v>
      </c>
      <c r="E15" s="18">
        <v>150</v>
      </c>
    </row>
    <row r="16" spans="1:5" ht="14.25" x14ac:dyDescent="0.3">
      <c r="A16" s="8" t="s">
        <v>68</v>
      </c>
      <c r="B16" s="13">
        <v>395</v>
      </c>
      <c r="C16" s="13">
        <v>395</v>
      </c>
      <c r="D16" s="13">
        <v>395</v>
      </c>
      <c r="E16" s="13">
        <v>395</v>
      </c>
    </row>
    <row r="17" spans="1:5" ht="14.25" x14ac:dyDescent="0.3">
      <c r="A17" s="8" t="s">
        <v>98</v>
      </c>
      <c r="B17" s="13"/>
      <c r="C17" s="13">
        <v>200</v>
      </c>
      <c r="D17" s="13">
        <v>200</v>
      </c>
      <c r="E17" s="13">
        <v>200</v>
      </c>
    </row>
    <row r="18" spans="1:5" ht="14.25" x14ac:dyDescent="0.3">
      <c r="A18" s="8" t="s">
        <v>99</v>
      </c>
      <c r="B18" s="13"/>
      <c r="C18" s="13"/>
      <c r="D18" s="13">
        <v>205</v>
      </c>
      <c r="E18" s="13">
        <v>205</v>
      </c>
    </row>
    <row r="19" spans="1:5" ht="17.100000000000001" customHeight="1" x14ac:dyDescent="0.2">
      <c r="A19" s="17" t="s">
        <v>69</v>
      </c>
      <c r="B19" s="18">
        <v>6560</v>
      </c>
      <c r="C19" s="18">
        <v>6560</v>
      </c>
      <c r="D19" s="18">
        <v>6560</v>
      </c>
      <c r="E19" s="18">
        <v>6560</v>
      </c>
    </row>
    <row r="20" spans="1:5" ht="14.25" x14ac:dyDescent="0.3">
      <c r="A20" s="8"/>
      <c r="B20" s="13"/>
      <c r="C20" s="13"/>
      <c r="D20" s="13"/>
      <c r="E20" s="13"/>
    </row>
    <row r="21" spans="1:5" ht="14.25" x14ac:dyDescent="0.3">
      <c r="A21" s="8" t="s">
        <v>70</v>
      </c>
      <c r="B21" s="13"/>
      <c r="C21" s="13"/>
      <c r="D21" s="13"/>
      <c r="E21" s="13"/>
    </row>
    <row r="22" spans="1:5" ht="14.25" x14ac:dyDescent="0.3">
      <c r="A22" s="8" t="s">
        <v>71</v>
      </c>
      <c r="B22" s="13">
        <v>2</v>
      </c>
      <c r="C22" s="13">
        <v>2</v>
      </c>
      <c r="D22" s="13">
        <v>2</v>
      </c>
      <c r="E22" s="13">
        <v>2</v>
      </c>
    </row>
    <row r="23" spans="1:5" ht="14.25" x14ac:dyDescent="0.3">
      <c r="A23" s="8" t="s">
        <v>72</v>
      </c>
      <c r="B23" s="13">
        <v>0</v>
      </c>
      <c r="C23" s="13">
        <v>0</v>
      </c>
      <c r="D23" s="13">
        <v>0</v>
      </c>
      <c r="E23" s="13">
        <v>0</v>
      </c>
    </row>
    <row r="24" spans="1:5" ht="28.5" x14ac:dyDescent="0.3">
      <c r="A24" s="9" t="s">
        <v>73</v>
      </c>
      <c r="B24" s="13">
        <v>1353</v>
      </c>
      <c r="C24" s="13">
        <v>1353</v>
      </c>
      <c r="D24" s="13">
        <v>1353</v>
      </c>
      <c r="E24" s="13">
        <v>1353</v>
      </c>
    </row>
    <row r="25" spans="1:5" ht="14.25" x14ac:dyDescent="0.3">
      <c r="A25" s="8" t="s">
        <v>74</v>
      </c>
      <c r="B25" s="13">
        <v>938</v>
      </c>
      <c r="C25" s="13">
        <v>938</v>
      </c>
      <c r="D25" s="13">
        <v>938</v>
      </c>
      <c r="E25" s="13">
        <v>938</v>
      </c>
    </row>
    <row r="26" spans="1:5" ht="14.25" x14ac:dyDescent="0.3">
      <c r="A26" s="8" t="s">
        <v>75</v>
      </c>
      <c r="B26" s="13">
        <v>185</v>
      </c>
      <c r="C26" s="13">
        <v>185</v>
      </c>
      <c r="D26" s="13">
        <v>185</v>
      </c>
      <c r="E26" s="13">
        <v>185</v>
      </c>
    </row>
    <row r="27" spans="1:5" ht="14.25" x14ac:dyDescent="0.3">
      <c r="A27" s="8" t="s">
        <v>100</v>
      </c>
      <c r="B27" s="13"/>
      <c r="C27" s="13">
        <v>2020</v>
      </c>
      <c r="D27" s="13">
        <v>2020</v>
      </c>
      <c r="E27" s="13">
        <v>2020</v>
      </c>
    </row>
    <row r="28" spans="1:5" ht="14.25" x14ac:dyDescent="0.3">
      <c r="A28" s="8" t="s">
        <v>77</v>
      </c>
      <c r="B28" s="13"/>
      <c r="C28" s="14">
        <v>0</v>
      </c>
      <c r="D28" s="14">
        <v>0</v>
      </c>
      <c r="E28" s="14">
        <v>0</v>
      </c>
    </row>
    <row r="29" spans="1:5" ht="14.25" x14ac:dyDescent="0.3">
      <c r="A29" s="8" t="s">
        <v>101</v>
      </c>
      <c r="B29" s="13"/>
      <c r="C29" s="14"/>
      <c r="D29" s="14"/>
      <c r="E29" s="14">
        <v>552</v>
      </c>
    </row>
    <row r="30" spans="1:5" ht="14.25" x14ac:dyDescent="0.3">
      <c r="A30" s="8" t="s">
        <v>102</v>
      </c>
      <c r="B30" s="13"/>
      <c r="C30" s="14"/>
      <c r="D30" s="14"/>
      <c r="E30" s="14">
        <v>225</v>
      </c>
    </row>
    <row r="31" spans="1:5" ht="14.25" x14ac:dyDescent="0.3">
      <c r="A31" s="8"/>
      <c r="B31" s="8"/>
      <c r="C31" s="8"/>
      <c r="D31" s="8"/>
      <c r="E31" s="8"/>
    </row>
    <row r="32" spans="1:5" ht="15" thickBot="1" x14ac:dyDescent="0.35">
      <c r="A32" s="8"/>
      <c r="B32" s="15">
        <f>SUM(B7:B26)</f>
        <v>11217</v>
      </c>
      <c r="C32" s="15">
        <f>SUM(C7:C27)</f>
        <v>13437</v>
      </c>
      <c r="D32" s="15">
        <f>SUM(D7:D27)</f>
        <v>13642</v>
      </c>
      <c r="E32" s="15">
        <f>SUM(E7:E30)</f>
        <v>14419</v>
      </c>
    </row>
    <row r="33" spans="1:5" ht="15" thickTop="1" x14ac:dyDescent="0.3">
      <c r="A33" s="8"/>
      <c r="B33" s="8"/>
      <c r="C33" s="8"/>
      <c r="D33" s="8"/>
      <c r="E33" s="8"/>
    </row>
    <row r="34" spans="1:5" ht="14.25" x14ac:dyDescent="0.3">
      <c r="A34" s="8" t="s">
        <v>64</v>
      </c>
      <c r="B34" s="13">
        <v>355338</v>
      </c>
      <c r="C34" s="13">
        <v>355339</v>
      </c>
      <c r="D34" s="13">
        <v>355339</v>
      </c>
      <c r="E34" s="13">
        <v>355339</v>
      </c>
    </row>
    <row r="35" spans="1:5" ht="14.25" x14ac:dyDescent="0.3">
      <c r="A35" s="8"/>
      <c r="B35" s="8"/>
      <c r="C35" s="16"/>
      <c r="D35" s="16"/>
      <c r="E35" s="16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P173"/>
  <sheetViews>
    <sheetView zoomScale="89" zoomScaleNormal="89" workbookViewId="0">
      <pane xSplit="6" ySplit="5" topLeftCell="G23" activePane="bottomRight" state="frozen"/>
      <selection pane="topRight" activeCell="H1" sqref="H1"/>
      <selection pane="bottomLeft" activeCell="A6" sqref="A6"/>
      <selection pane="bottomRight" activeCell="J46" sqref="J46:J82"/>
    </sheetView>
  </sheetViews>
  <sheetFormatPr defaultColWidth="1.140625" defaultRowHeight="15" x14ac:dyDescent="0.25"/>
  <cols>
    <col min="1" max="1" width="1.140625" style="139" customWidth="1"/>
    <col min="2" max="2" width="9" style="278" customWidth="1"/>
    <col min="3" max="3" width="9" style="273" customWidth="1"/>
    <col min="4" max="4" width="32.140625" style="139" customWidth="1"/>
    <col min="5" max="5" width="10.7109375" style="139" customWidth="1"/>
    <col min="6" max="6" width="13.7109375" style="144" customWidth="1"/>
    <col min="7" max="7" width="11.140625" style="144" customWidth="1"/>
    <col min="8" max="8" width="9.28515625" style="139" customWidth="1"/>
    <col min="9" max="9" width="12" style="139" customWidth="1"/>
    <col min="10" max="10" width="14.5703125" style="139" bestFit="1" customWidth="1"/>
    <col min="11" max="11" width="9.140625" style="139" customWidth="1"/>
    <col min="12" max="12" width="12.85546875" style="139" customWidth="1"/>
    <col min="13" max="13" width="3.140625" style="139" customWidth="1"/>
    <col min="14" max="14" width="28.42578125" style="139" customWidth="1"/>
    <col min="15" max="15" width="9.140625" style="139" customWidth="1"/>
    <col min="16" max="16" width="14.5703125" style="139" hidden="1" customWidth="1"/>
    <col min="17" max="222" width="9.140625" style="139" customWidth="1"/>
    <col min="223" max="16384" width="1.140625" style="139"/>
  </cols>
  <sheetData>
    <row r="1" spans="1:16" x14ac:dyDescent="0.25">
      <c r="A1" s="146"/>
      <c r="C1" s="208"/>
      <c r="D1" s="146"/>
      <c r="E1" s="146"/>
      <c r="F1" s="183"/>
      <c r="G1" s="183"/>
      <c r="H1" s="146"/>
      <c r="I1" s="146"/>
    </row>
    <row r="2" spans="1:16" x14ac:dyDescent="0.25">
      <c r="A2" s="146"/>
      <c r="B2" s="306" t="s">
        <v>246</v>
      </c>
      <c r="C2" s="307"/>
      <c r="D2" s="307"/>
      <c r="E2" s="307"/>
      <c r="F2" s="307"/>
      <c r="G2" s="307"/>
      <c r="H2" s="307"/>
      <c r="I2" s="299"/>
      <c r="J2" s="147"/>
      <c r="K2" s="147"/>
      <c r="L2" s="147"/>
      <c r="M2" s="147"/>
      <c r="N2" s="147"/>
    </row>
    <row r="3" spans="1:16" x14ac:dyDescent="0.25">
      <c r="A3" s="146"/>
      <c r="B3" s="275"/>
      <c r="C3" s="148"/>
      <c r="D3" s="149"/>
      <c r="E3" s="149"/>
      <c r="F3" s="283"/>
      <c r="G3" s="283"/>
      <c r="H3" s="146"/>
      <c r="I3" s="146"/>
    </row>
    <row r="4" spans="1:16" x14ac:dyDescent="0.25">
      <c r="A4" s="146"/>
      <c r="B4" s="304" t="s">
        <v>28</v>
      </c>
      <c r="C4" s="305"/>
      <c r="D4" s="305"/>
      <c r="E4" s="305"/>
      <c r="F4" s="284" t="s">
        <v>5</v>
      </c>
      <c r="G4" s="309" t="s">
        <v>4</v>
      </c>
      <c r="H4" s="310"/>
      <c r="I4" s="310"/>
      <c r="J4" s="140" t="s">
        <v>155</v>
      </c>
      <c r="K4" s="140" t="s">
        <v>145</v>
      </c>
    </row>
    <row r="5" spans="1:16" ht="30" x14ac:dyDescent="0.25">
      <c r="A5" s="146"/>
      <c r="B5" s="276" t="s">
        <v>41</v>
      </c>
      <c r="C5" s="150" t="s">
        <v>57</v>
      </c>
      <c r="D5" s="150" t="s">
        <v>42</v>
      </c>
      <c r="E5" s="151" t="s">
        <v>58</v>
      </c>
      <c r="F5" s="285" t="s">
        <v>44</v>
      </c>
      <c r="G5" s="294" t="s">
        <v>172</v>
      </c>
      <c r="H5" s="152" t="s">
        <v>47</v>
      </c>
      <c r="I5" s="300" t="s">
        <v>244</v>
      </c>
      <c r="J5" s="140"/>
      <c r="K5" s="140"/>
    </row>
    <row r="6" spans="1:16" x14ac:dyDescent="0.25">
      <c r="A6" s="146"/>
      <c r="B6" s="278" t="s">
        <v>247</v>
      </c>
      <c r="D6" s="154" t="s">
        <v>48</v>
      </c>
      <c r="E6" s="155"/>
      <c r="F6" s="302">
        <v>12505.87</v>
      </c>
      <c r="G6" s="156"/>
      <c r="H6" s="157"/>
      <c r="I6" s="301"/>
      <c r="M6" s="158"/>
      <c r="N6" s="159" t="s">
        <v>88</v>
      </c>
      <c r="P6" s="139" t="s">
        <v>148</v>
      </c>
    </row>
    <row r="7" spans="1:16" x14ac:dyDescent="0.25">
      <c r="A7" s="146"/>
      <c r="B7" s="278" t="s">
        <v>247</v>
      </c>
      <c r="C7" s="273" t="s">
        <v>243</v>
      </c>
      <c r="D7" s="270" t="s">
        <v>248</v>
      </c>
      <c r="E7" s="155" t="s">
        <v>180</v>
      </c>
      <c r="F7" s="274"/>
      <c r="G7" s="156">
        <v>481.4</v>
      </c>
      <c r="H7" s="157"/>
      <c r="I7" s="301">
        <v>481.4</v>
      </c>
      <c r="J7" s="139" t="s">
        <v>147</v>
      </c>
      <c r="K7" s="139">
        <v>10</v>
      </c>
      <c r="M7" s="158"/>
      <c r="N7" s="159"/>
    </row>
    <row r="8" spans="1:16" x14ac:dyDescent="0.25">
      <c r="A8" s="146"/>
      <c r="B8" s="277" t="s">
        <v>249</v>
      </c>
      <c r="C8" s="153" t="s">
        <v>179</v>
      </c>
      <c r="D8" s="160" t="s">
        <v>45</v>
      </c>
      <c r="E8" s="161"/>
      <c r="F8" s="157">
        <v>0.48</v>
      </c>
      <c r="G8" s="156"/>
      <c r="H8" s="157"/>
      <c r="I8" s="301"/>
      <c r="J8" s="139" t="s">
        <v>5</v>
      </c>
      <c r="K8" s="139">
        <v>3</v>
      </c>
      <c r="M8" s="158">
        <v>1</v>
      </c>
      <c r="N8" s="162" t="s">
        <v>142</v>
      </c>
      <c r="P8" s="141" t="s">
        <v>12</v>
      </c>
    </row>
    <row r="9" spans="1:16" x14ac:dyDescent="0.25">
      <c r="A9" s="146"/>
      <c r="B9" s="277" t="s">
        <v>250</v>
      </c>
      <c r="C9" s="153" t="s">
        <v>182</v>
      </c>
      <c r="D9" s="160" t="s">
        <v>176</v>
      </c>
      <c r="E9" s="161" t="s">
        <v>177</v>
      </c>
      <c r="F9" s="157"/>
      <c r="G9" s="156">
        <v>23.5</v>
      </c>
      <c r="H9" s="157">
        <v>4.7</v>
      </c>
      <c r="I9" s="301">
        <v>28.2</v>
      </c>
      <c r="J9" s="139" t="s">
        <v>147</v>
      </c>
      <c r="K9" s="139">
        <v>4</v>
      </c>
      <c r="M9" s="158">
        <v>2</v>
      </c>
      <c r="N9" s="163" t="s">
        <v>224</v>
      </c>
      <c r="P9" s="141" t="s">
        <v>146</v>
      </c>
    </row>
    <row r="10" spans="1:16" x14ac:dyDescent="0.25">
      <c r="A10" s="146"/>
      <c r="B10" s="277" t="s">
        <v>251</v>
      </c>
      <c r="C10" s="153" t="s">
        <v>183</v>
      </c>
      <c r="D10" s="160" t="s">
        <v>252</v>
      </c>
      <c r="E10" s="161" t="s">
        <v>180</v>
      </c>
      <c r="F10" s="157"/>
      <c r="G10" s="156">
        <v>600</v>
      </c>
      <c r="H10" s="157"/>
      <c r="I10" s="301">
        <v>600</v>
      </c>
      <c r="J10" s="139" t="s">
        <v>146</v>
      </c>
      <c r="K10" s="139">
        <v>6</v>
      </c>
      <c r="M10" s="158">
        <v>3</v>
      </c>
      <c r="N10" s="163" t="s">
        <v>137</v>
      </c>
      <c r="P10" s="141" t="s">
        <v>147</v>
      </c>
    </row>
    <row r="11" spans="1:16" x14ac:dyDescent="0.25">
      <c r="A11" s="146"/>
      <c r="B11" s="277" t="s">
        <v>251</v>
      </c>
      <c r="C11" s="153" t="s">
        <v>184</v>
      </c>
      <c r="D11" s="160" t="s">
        <v>253</v>
      </c>
      <c r="E11" s="161" t="s">
        <v>180</v>
      </c>
      <c r="F11" s="157"/>
      <c r="G11" s="156">
        <v>355.4</v>
      </c>
      <c r="H11" s="157"/>
      <c r="I11" s="301">
        <v>355.4</v>
      </c>
      <c r="J11" s="139" t="s">
        <v>12</v>
      </c>
      <c r="K11" s="139">
        <v>5</v>
      </c>
      <c r="M11" s="158">
        <v>4</v>
      </c>
      <c r="N11" s="164" t="s">
        <v>166</v>
      </c>
      <c r="P11" s="141" t="s">
        <v>13</v>
      </c>
    </row>
    <row r="12" spans="1:16" ht="19.5" customHeight="1" x14ac:dyDescent="0.25">
      <c r="A12" s="146"/>
      <c r="B12" s="277" t="s">
        <v>251</v>
      </c>
      <c r="C12" s="153" t="s">
        <v>185</v>
      </c>
      <c r="D12" s="160" t="s">
        <v>254</v>
      </c>
      <c r="E12" s="161" t="s">
        <v>180</v>
      </c>
      <c r="F12" s="157"/>
      <c r="G12" s="156">
        <v>276.7</v>
      </c>
      <c r="H12" s="157"/>
      <c r="I12" s="301">
        <v>276.7</v>
      </c>
      <c r="J12" s="139" t="s">
        <v>147</v>
      </c>
      <c r="K12" s="139">
        <v>1</v>
      </c>
      <c r="M12" s="158">
        <v>5</v>
      </c>
      <c r="N12" s="164" t="s">
        <v>167</v>
      </c>
      <c r="P12" s="141" t="s">
        <v>10</v>
      </c>
    </row>
    <row r="13" spans="1:16" ht="18" customHeight="1" thickBot="1" x14ac:dyDescent="0.3">
      <c r="A13" s="146"/>
      <c r="B13" s="277" t="s">
        <v>251</v>
      </c>
      <c r="C13" s="153" t="s">
        <v>186</v>
      </c>
      <c r="D13" s="160" t="s">
        <v>242</v>
      </c>
      <c r="E13" s="161" t="s">
        <v>180</v>
      </c>
      <c r="F13" s="157"/>
      <c r="G13" s="156">
        <v>200</v>
      </c>
      <c r="H13" s="157">
        <v>40</v>
      </c>
      <c r="I13" s="301">
        <v>240</v>
      </c>
      <c r="J13" s="139" t="s">
        <v>151</v>
      </c>
      <c r="K13" s="139">
        <v>1</v>
      </c>
      <c r="M13" s="158">
        <v>6</v>
      </c>
      <c r="N13" s="165" t="s">
        <v>143</v>
      </c>
      <c r="P13" s="141" t="s">
        <v>151</v>
      </c>
    </row>
    <row r="14" spans="1:16" x14ac:dyDescent="0.25">
      <c r="A14" s="146"/>
      <c r="B14" s="277" t="s">
        <v>251</v>
      </c>
      <c r="C14" s="153" t="s">
        <v>187</v>
      </c>
      <c r="D14" s="160" t="s">
        <v>255</v>
      </c>
      <c r="E14" s="161" t="s">
        <v>180</v>
      </c>
      <c r="F14" s="157"/>
      <c r="G14" s="156">
        <v>1100</v>
      </c>
      <c r="H14" s="157"/>
      <c r="I14" s="301">
        <v>1100</v>
      </c>
      <c r="J14" s="139" t="s">
        <v>146</v>
      </c>
      <c r="K14" s="139">
        <v>4</v>
      </c>
      <c r="M14" s="166"/>
      <c r="N14" s="167" t="s">
        <v>87</v>
      </c>
      <c r="P14" s="141" t="s">
        <v>5</v>
      </c>
    </row>
    <row r="15" spans="1:16" x14ac:dyDescent="0.25">
      <c r="A15" s="146"/>
      <c r="B15" s="277" t="s">
        <v>256</v>
      </c>
      <c r="C15" s="153" t="s">
        <v>188</v>
      </c>
      <c r="D15" s="160" t="s">
        <v>257</v>
      </c>
      <c r="E15" s="161" t="s">
        <v>180</v>
      </c>
      <c r="F15" s="157"/>
      <c r="G15" s="156">
        <v>380</v>
      </c>
      <c r="H15" s="157">
        <v>76</v>
      </c>
      <c r="I15" s="301">
        <v>456</v>
      </c>
      <c r="J15" s="139" t="s">
        <v>12</v>
      </c>
      <c r="K15" s="139">
        <v>1</v>
      </c>
      <c r="M15" s="166">
        <v>1</v>
      </c>
      <c r="N15" s="168" t="s">
        <v>211</v>
      </c>
      <c r="P15" s="141"/>
    </row>
    <row r="16" spans="1:16" x14ac:dyDescent="0.25">
      <c r="A16" s="146"/>
      <c r="B16" s="277" t="s">
        <v>256</v>
      </c>
      <c r="C16" s="153" t="s">
        <v>189</v>
      </c>
      <c r="D16" s="160" t="s">
        <v>258</v>
      </c>
      <c r="E16" s="161" t="s">
        <v>180</v>
      </c>
      <c r="F16" s="157"/>
      <c r="G16" s="156">
        <v>35</v>
      </c>
      <c r="H16" s="157">
        <v>7</v>
      </c>
      <c r="I16" s="303">
        <v>42</v>
      </c>
      <c r="J16" s="139" t="s">
        <v>147</v>
      </c>
      <c r="K16" s="139">
        <v>12</v>
      </c>
      <c r="M16" s="166">
        <v>2</v>
      </c>
      <c r="N16" s="163" t="s">
        <v>110</v>
      </c>
    </row>
    <row r="17" spans="1:16" x14ac:dyDescent="0.25">
      <c r="A17" s="146"/>
      <c r="B17" s="277" t="s">
        <v>256</v>
      </c>
      <c r="C17" s="153" t="s">
        <v>190</v>
      </c>
      <c r="D17" s="160" t="s">
        <v>259</v>
      </c>
      <c r="E17" s="161" t="s">
        <v>180</v>
      </c>
      <c r="F17" s="157"/>
      <c r="G17" s="156">
        <v>430.11</v>
      </c>
      <c r="H17" s="157"/>
      <c r="I17" s="301">
        <v>430.11</v>
      </c>
      <c r="J17" s="139" t="s">
        <v>147</v>
      </c>
      <c r="K17" s="139">
        <v>1</v>
      </c>
      <c r="M17" s="166">
        <v>3</v>
      </c>
      <c r="N17" s="163" t="s">
        <v>111</v>
      </c>
      <c r="P17" s="139" t="s">
        <v>149</v>
      </c>
    </row>
    <row r="18" spans="1:16" x14ac:dyDescent="0.25">
      <c r="A18" s="146"/>
      <c r="B18" s="277" t="s">
        <v>256</v>
      </c>
      <c r="C18" s="153" t="s">
        <v>191</v>
      </c>
      <c r="D18" s="160" t="s">
        <v>260</v>
      </c>
      <c r="E18" s="161" t="s">
        <v>180</v>
      </c>
      <c r="F18" s="157"/>
      <c r="G18" s="156">
        <v>133.75</v>
      </c>
      <c r="H18" s="157">
        <v>26.75</v>
      </c>
      <c r="I18" s="301">
        <v>160.5</v>
      </c>
      <c r="J18" s="139" t="s">
        <v>146</v>
      </c>
      <c r="K18" s="139">
        <v>1</v>
      </c>
      <c r="M18" s="166">
        <v>4</v>
      </c>
      <c r="N18" s="163" t="s">
        <v>112</v>
      </c>
      <c r="P18" s="139">
        <v>1</v>
      </c>
    </row>
    <row r="19" spans="1:16" x14ac:dyDescent="0.25">
      <c r="A19" s="146"/>
      <c r="B19" s="277" t="s">
        <v>261</v>
      </c>
      <c r="C19" s="153" t="s">
        <v>197</v>
      </c>
      <c r="D19" s="160" t="s">
        <v>8</v>
      </c>
      <c r="E19" s="161"/>
      <c r="F19" s="157">
        <v>20752</v>
      </c>
      <c r="G19" s="156"/>
      <c r="H19" s="157"/>
      <c r="I19" s="301"/>
      <c r="J19" s="139" t="s">
        <v>5</v>
      </c>
      <c r="K19" s="139">
        <v>2</v>
      </c>
      <c r="M19" s="166">
        <v>5</v>
      </c>
      <c r="N19" s="163" t="s">
        <v>113</v>
      </c>
      <c r="P19" s="139">
        <v>2</v>
      </c>
    </row>
    <row r="20" spans="1:16" x14ac:dyDescent="0.25">
      <c r="A20" s="146"/>
      <c r="B20" s="277" t="s">
        <v>262</v>
      </c>
      <c r="C20" s="153" t="s">
        <v>192</v>
      </c>
      <c r="D20" s="160" t="s">
        <v>209</v>
      </c>
      <c r="E20" s="161" t="s">
        <v>180</v>
      </c>
      <c r="F20" s="157"/>
      <c r="G20" s="156">
        <v>154.1</v>
      </c>
      <c r="H20" s="157"/>
      <c r="I20" s="301">
        <v>154.1</v>
      </c>
      <c r="J20" s="139" t="s">
        <v>147</v>
      </c>
      <c r="K20" s="139">
        <v>3</v>
      </c>
      <c r="M20" s="166">
        <v>6</v>
      </c>
      <c r="N20" s="163" t="s">
        <v>121</v>
      </c>
      <c r="P20" s="139">
        <v>3</v>
      </c>
    </row>
    <row r="21" spans="1:16" x14ac:dyDescent="0.25">
      <c r="A21" s="146"/>
      <c r="B21" s="277" t="s">
        <v>262</v>
      </c>
      <c r="C21" s="153" t="s">
        <v>193</v>
      </c>
      <c r="D21" s="160" t="s">
        <v>263</v>
      </c>
      <c r="E21" s="161" t="s">
        <v>180</v>
      </c>
      <c r="F21" s="157"/>
      <c r="G21" s="156">
        <v>50</v>
      </c>
      <c r="H21" s="157"/>
      <c r="I21" s="301">
        <v>50</v>
      </c>
      <c r="J21" s="139" t="s">
        <v>146</v>
      </c>
      <c r="K21" s="139">
        <v>1</v>
      </c>
      <c r="M21" s="166">
        <v>7</v>
      </c>
      <c r="N21" s="163" t="s">
        <v>122</v>
      </c>
      <c r="P21" s="139">
        <v>4</v>
      </c>
    </row>
    <row r="22" spans="1:16" x14ac:dyDescent="0.25">
      <c r="A22" s="146"/>
      <c r="B22" s="277" t="s">
        <v>264</v>
      </c>
      <c r="C22" s="153" t="s">
        <v>196</v>
      </c>
      <c r="D22" s="160" t="s">
        <v>45</v>
      </c>
      <c r="E22" s="161"/>
      <c r="F22" s="157">
        <v>0.8</v>
      </c>
      <c r="G22" s="156"/>
      <c r="H22" s="157"/>
      <c r="I22" s="301"/>
      <c r="J22" s="139" t="s">
        <v>5</v>
      </c>
      <c r="K22" s="139">
        <v>3</v>
      </c>
      <c r="M22" s="166">
        <v>8</v>
      </c>
      <c r="N22" s="163" t="s">
        <v>123</v>
      </c>
      <c r="P22" s="139">
        <v>5</v>
      </c>
    </row>
    <row r="23" spans="1:16" x14ac:dyDescent="0.25">
      <c r="A23" s="146"/>
      <c r="B23" s="277" t="s">
        <v>265</v>
      </c>
      <c r="C23" s="153" t="s">
        <v>194</v>
      </c>
      <c r="D23" s="160" t="s">
        <v>176</v>
      </c>
      <c r="E23" s="161" t="s">
        <v>177</v>
      </c>
      <c r="F23" s="157"/>
      <c r="G23" s="156">
        <v>23.5</v>
      </c>
      <c r="H23" s="157">
        <v>4.7</v>
      </c>
      <c r="I23" s="301">
        <v>28.2</v>
      </c>
      <c r="J23" s="139" t="s">
        <v>147</v>
      </c>
      <c r="K23" s="139">
        <v>4</v>
      </c>
      <c r="M23" s="166">
        <v>9</v>
      </c>
      <c r="N23" s="163" t="s">
        <v>115</v>
      </c>
      <c r="P23" s="139">
        <v>6</v>
      </c>
    </row>
    <row r="24" spans="1:16" x14ac:dyDescent="0.25">
      <c r="A24" s="146"/>
      <c r="B24" s="277" t="s">
        <v>265</v>
      </c>
      <c r="C24" s="153" t="s">
        <v>195</v>
      </c>
      <c r="D24" s="160" t="s">
        <v>253</v>
      </c>
      <c r="E24" s="161" t="s">
        <v>180</v>
      </c>
      <c r="F24" s="157"/>
      <c r="G24" s="156">
        <v>374.59</v>
      </c>
      <c r="H24" s="157"/>
      <c r="I24" s="301">
        <v>374.59</v>
      </c>
      <c r="J24" s="139" t="s">
        <v>12</v>
      </c>
      <c r="K24" s="139">
        <v>5</v>
      </c>
      <c r="M24" s="166">
        <v>10</v>
      </c>
      <c r="N24" s="163" t="s">
        <v>137</v>
      </c>
      <c r="P24" s="139">
        <v>7</v>
      </c>
    </row>
    <row r="25" spans="1:16" x14ac:dyDescent="0.25">
      <c r="A25" s="146"/>
      <c r="B25" s="277" t="s">
        <v>265</v>
      </c>
      <c r="C25" s="153" t="s">
        <v>198</v>
      </c>
      <c r="D25" s="160" t="s">
        <v>266</v>
      </c>
      <c r="E25" s="161" t="s">
        <v>180</v>
      </c>
      <c r="F25" s="157"/>
      <c r="G25" s="156">
        <v>800</v>
      </c>
      <c r="H25" s="157"/>
      <c r="I25" s="301">
        <v>800</v>
      </c>
      <c r="J25" s="139" t="s">
        <v>13</v>
      </c>
      <c r="K25" s="139">
        <v>1</v>
      </c>
      <c r="M25" s="166" t="s">
        <v>241</v>
      </c>
      <c r="N25" s="163"/>
      <c r="P25" s="139">
        <v>8</v>
      </c>
    </row>
    <row r="26" spans="1:16" ht="15.75" thickBot="1" x14ac:dyDescent="0.3">
      <c r="A26" s="146"/>
      <c r="B26" s="277" t="s">
        <v>265</v>
      </c>
      <c r="C26" s="153" t="s">
        <v>199</v>
      </c>
      <c r="D26" s="160" t="s">
        <v>254</v>
      </c>
      <c r="E26" s="161" t="s">
        <v>180</v>
      </c>
      <c r="F26" s="157"/>
      <c r="G26" s="156">
        <v>379.97</v>
      </c>
      <c r="H26" s="157"/>
      <c r="I26" s="301">
        <v>379.97</v>
      </c>
      <c r="J26" s="139" t="s">
        <v>147</v>
      </c>
      <c r="K26" s="139">
        <v>1</v>
      </c>
      <c r="M26" s="166">
        <v>12</v>
      </c>
      <c r="N26" s="169" t="s">
        <v>160</v>
      </c>
      <c r="P26" s="139">
        <v>9</v>
      </c>
    </row>
    <row r="27" spans="1:16" x14ac:dyDescent="0.25">
      <c r="A27" s="146"/>
      <c r="B27" s="277" t="s">
        <v>265</v>
      </c>
      <c r="C27" s="153" t="s">
        <v>200</v>
      </c>
      <c r="D27" s="160" t="s">
        <v>267</v>
      </c>
      <c r="E27" s="161" t="s">
        <v>180</v>
      </c>
      <c r="F27" s="157"/>
      <c r="G27" s="156">
        <v>134.51</v>
      </c>
      <c r="H27" s="157"/>
      <c r="I27" s="301">
        <v>134.51</v>
      </c>
      <c r="J27" s="139" t="s">
        <v>146</v>
      </c>
      <c r="K27" s="139">
        <v>2</v>
      </c>
      <c r="M27" s="170"/>
      <c r="N27" s="171" t="s">
        <v>86</v>
      </c>
      <c r="P27" s="139">
        <v>10</v>
      </c>
    </row>
    <row r="28" spans="1:16" x14ac:dyDescent="0.25">
      <c r="A28" s="146"/>
      <c r="B28" s="277" t="s">
        <v>265</v>
      </c>
      <c r="C28" s="153" t="s">
        <v>201</v>
      </c>
      <c r="D28" s="160" t="s">
        <v>268</v>
      </c>
      <c r="E28" s="161" t="s">
        <v>180</v>
      </c>
      <c r="F28" s="157"/>
      <c r="G28" s="156">
        <v>59.7</v>
      </c>
      <c r="H28" s="157"/>
      <c r="I28" s="301">
        <v>59.7</v>
      </c>
      <c r="J28" s="139" t="s">
        <v>146</v>
      </c>
      <c r="K28" s="139">
        <v>2</v>
      </c>
      <c r="M28" s="170">
        <v>1</v>
      </c>
      <c r="N28" s="163" t="s">
        <v>78</v>
      </c>
      <c r="P28" s="139">
        <v>11</v>
      </c>
    </row>
    <row r="29" spans="1:16" x14ac:dyDescent="0.25">
      <c r="A29" s="146"/>
      <c r="B29" s="277" t="s">
        <v>265</v>
      </c>
      <c r="C29" s="153" t="s">
        <v>202</v>
      </c>
      <c r="D29" s="160" t="s">
        <v>269</v>
      </c>
      <c r="E29" s="161" t="s">
        <v>180</v>
      </c>
      <c r="F29" s="157"/>
      <c r="G29" s="156">
        <v>68.5</v>
      </c>
      <c r="H29" s="157">
        <v>13.7</v>
      </c>
      <c r="I29" s="301">
        <v>82.2</v>
      </c>
      <c r="J29" s="139" t="s">
        <v>147</v>
      </c>
      <c r="K29" s="139">
        <v>12</v>
      </c>
      <c r="M29" s="170">
        <v>2</v>
      </c>
      <c r="N29" s="164" t="s">
        <v>14</v>
      </c>
      <c r="P29" s="139">
        <v>12</v>
      </c>
    </row>
    <row r="30" spans="1:16" ht="15.75" thickBot="1" x14ac:dyDescent="0.3">
      <c r="A30" s="146"/>
      <c r="B30" s="277" t="s">
        <v>270</v>
      </c>
      <c r="C30" s="153" t="s">
        <v>203</v>
      </c>
      <c r="D30" s="160" t="s">
        <v>271</v>
      </c>
      <c r="E30" s="161" t="s">
        <v>180</v>
      </c>
      <c r="F30" s="157"/>
      <c r="G30" s="156">
        <v>330</v>
      </c>
      <c r="H30" s="157"/>
      <c r="I30" s="301">
        <v>330</v>
      </c>
      <c r="J30" s="139" t="s">
        <v>146</v>
      </c>
      <c r="K30" s="139">
        <v>2</v>
      </c>
      <c r="M30" s="170">
        <v>3</v>
      </c>
      <c r="N30" s="165" t="s">
        <v>153</v>
      </c>
      <c r="P30" s="139">
        <v>13</v>
      </c>
    </row>
    <row r="31" spans="1:16" x14ac:dyDescent="0.25">
      <c r="A31" s="146"/>
      <c r="B31" s="277" t="s">
        <v>272</v>
      </c>
      <c r="C31" s="153" t="s">
        <v>204</v>
      </c>
      <c r="D31" s="160" t="s">
        <v>273</v>
      </c>
      <c r="E31" s="161" t="s">
        <v>180</v>
      </c>
      <c r="F31" s="157"/>
      <c r="G31" s="156">
        <v>375</v>
      </c>
      <c r="H31" s="157"/>
      <c r="I31" s="301">
        <v>375</v>
      </c>
      <c r="J31" s="139" t="s">
        <v>146</v>
      </c>
      <c r="K31" s="139">
        <v>2</v>
      </c>
      <c r="M31" s="172"/>
      <c r="N31" s="173" t="s">
        <v>85</v>
      </c>
      <c r="P31" s="139">
        <v>14</v>
      </c>
    </row>
    <row r="32" spans="1:16" x14ac:dyDescent="0.25">
      <c r="A32" s="146"/>
      <c r="B32" s="277" t="s">
        <v>275</v>
      </c>
      <c r="C32" s="153" t="s">
        <v>205</v>
      </c>
      <c r="D32" s="160" t="s">
        <v>274</v>
      </c>
      <c r="E32" s="161" t="s">
        <v>180</v>
      </c>
      <c r="F32" s="157"/>
      <c r="G32" s="156">
        <v>43.62</v>
      </c>
      <c r="H32" s="157"/>
      <c r="I32" s="301">
        <v>43.62</v>
      </c>
      <c r="J32" s="139" t="s">
        <v>146</v>
      </c>
      <c r="K32" s="139">
        <v>2</v>
      </c>
      <c r="M32" s="174">
        <v>1</v>
      </c>
      <c r="N32" s="168" t="s">
        <v>11</v>
      </c>
      <c r="P32" s="139">
        <v>15</v>
      </c>
    </row>
    <row r="33" spans="1:14" x14ac:dyDescent="0.25">
      <c r="A33" s="146"/>
      <c r="B33" s="277" t="s">
        <v>275</v>
      </c>
      <c r="C33" s="153" t="s">
        <v>207</v>
      </c>
      <c r="D33" s="160" t="s">
        <v>276</v>
      </c>
      <c r="E33" s="161"/>
      <c r="F33" s="157">
        <v>50</v>
      </c>
      <c r="G33" s="156" t="s">
        <v>241</v>
      </c>
      <c r="H33" s="157"/>
      <c r="I33" s="301"/>
      <c r="J33" s="139" t="s">
        <v>5</v>
      </c>
      <c r="K33" s="139">
        <v>5</v>
      </c>
      <c r="M33" s="172">
        <v>2</v>
      </c>
      <c r="N33" s="168" t="s">
        <v>16</v>
      </c>
    </row>
    <row r="34" spans="1:14" x14ac:dyDescent="0.25">
      <c r="A34" s="146"/>
      <c r="B34" s="277" t="s">
        <v>275</v>
      </c>
      <c r="C34" s="153" t="s">
        <v>206</v>
      </c>
      <c r="D34" s="160" t="s">
        <v>277</v>
      </c>
      <c r="E34" s="161" t="s">
        <v>180</v>
      </c>
      <c r="F34" s="157"/>
      <c r="G34" s="156">
        <v>543</v>
      </c>
      <c r="H34" s="157"/>
      <c r="I34" s="301">
        <v>543</v>
      </c>
      <c r="J34" s="139" t="s">
        <v>146</v>
      </c>
      <c r="K34" s="139">
        <v>2</v>
      </c>
      <c r="M34" s="172">
        <v>3</v>
      </c>
      <c r="N34" s="163" t="s">
        <v>125</v>
      </c>
    </row>
    <row r="35" spans="1:14" x14ac:dyDescent="0.25">
      <c r="A35" s="146"/>
      <c r="B35" s="277"/>
      <c r="C35" s="153"/>
      <c r="D35" s="160"/>
      <c r="E35" s="161"/>
      <c r="F35" s="157"/>
      <c r="G35" s="156"/>
      <c r="H35" s="157"/>
      <c r="I35" s="301"/>
      <c r="M35" s="172">
        <v>4</v>
      </c>
      <c r="N35" s="163" t="s">
        <v>152</v>
      </c>
    </row>
    <row r="36" spans="1:14" x14ac:dyDescent="0.25">
      <c r="A36" s="146"/>
      <c r="B36" s="277"/>
      <c r="C36" s="153"/>
      <c r="D36" s="160"/>
      <c r="E36" s="161"/>
      <c r="F36" s="157"/>
      <c r="G36" s="156"/>
      <c r="H36" s="157"/>
      <c r="I36" s="301"/>
      <c r="M36" s="172">
        <v>5</v>
      </c>
      <c r="N36" s="163" t="s">
        <v>126</v>
      </c>
    </row>
    <row r="37" spans="1:14" x14ac:dyDescent="0.25">
      <c r="A37" s="146"/>
      <c r="B37" s="277"/>
      <c r="C37" s="153"/>
      <c r="D37" s="160"/>
      <c r="E37" s="161"/>
      <c r="F37" s="157"/>
      <c r="G37" s="156"/>
      <c r="H37" s="157"/>
      <c r="I37" s="301"/>
      <c r="M37" s="172">
        <v>6</v>
      </c>
      <c r="N37" s="163" t="s">
        <v>127</v>
      </c>
    </row>
    <row r="38" spans="1:14" x14ac:dyDescent="0.25">
      <c r="A38" s="146"/>
      <c r="B38" s="277"/>
      <c r="C38" s="153"/>
      <c r="D38" s="160"/>
      <c r="E38" s="161"/>
      <c r="F38" s="157"/>
      <c r="G38" s="156"/>
      <c r="H38" s="157"/>
      <c r="I38" s="301"/>
      <c r="M38" s="172">
        <v>7</v>
      </c>
      <c r="N38" s="163" t="s">
        <v>22</v>
      </c>
    </row>
    <row r="39" spans="1:14" x14ac:dyDescent="0.25">
      <c r="A39" s="146"/>
      <c r="B39" s="277"/>
      <c r="C39" s="153"/>
      <c r="D39" s="160"/>
      <c r="E39" s="161"/>
      <c r="F39" s="157"/>
      <c r="G39" s="156"/>
      <c r="H39" s="157"/>
      <c r="I39" s="301"/>
      <c r="M39" s="172">
        <v>8</v>
      </c>
      <c r="N39" s="163" t="s">
        <v>79</v>
      </c>
    </row>
    <row r="40" spans="1:14" x14ac:dyDescent="0.25">
      <c r="A40" s="146"/>
      <c r="B40" s="277"/>
      <c r="C40" s="153"/>
      <c r="D40" s="160"/>
      <c r="E40" s="293"/>
      <c r="F40" s="157"/>
      <c r="G40" s="156"/>
      <c r="H40" s="157"/>
      <c r="I40" s="301"/>
      <c r="M40" s="172">
        <v>9</v>
      </c>
      <c r="N40" s="163" t="s">
        <v>23</v>
      </c>
    </row>
    <row r="41" spans="1:14" x14ac:dyDescent="0.25">
      <c r="A41" s="146"/>
      <c r="B41" s="277"/>
      <c r="C41" s="153"/>
      <c r="D41" s="160"/>
      <c r="E41" s="161"/>
      <c r="G41" s="156"/>
      <c r="H41" s="157"/>
      <c r="I41" s="301"/>
      <c r="M41" s="172">
        <v>10</v>
      </c>
      <c r="N41" s="163" t="s">
        <v>2</v>
      </c>
    </row>
    <row r="42" spans="1:14" x14ac:dyDescent="0.25">
      <c r="A42" s="146"/>
      <c r="B42" s="277"/>
      <c r="C42" s="153"/>
      <c r="D42" s="160"/>
      <c r="E42" s="161"/>
      <c r="G42" s="156"/>
      <c r="H42" s="157"/>
      <c r="I42" s="301"/>
      <c r="M42" s="172">
        <v>11</v>
      </c>
      <c r="N42" s="164" t="s">
        <v>24</v>
      </c>
    </row>
    <row r="43" spans="1:14" ht="15.75" thickBot="1" x14ac:dyDescent="0.3">
      <c r="A43" s="146"/>
      <c r="B43" s="277"/>
      <c r="C43" s="153"/>
      <c r="D43" s="160"/>
      <c r="E43" s="161"/>
      <c r="G43" s="156"/>
      <c r="H43" s="157"/>
      <c r="I43" s="301"/>
      <c r="M43" s="172">
        <v>12</v>
      </c>
      <c r="N43" s="165" t="s">
        <v>46</v>
      </c>
    </row>
    <row r="44" spans="1:14" x14ac:dyDescent="0.25">
      <c r="A44" s="146"/>
      <c r="B44" s="277"/>
      <c r="C44" s="153"/>
      <c r="D44" s="160"/>
      <c r="E44" s="161"/>
      <c r="F44" s="157"/>
      <c r="G44" s="156"/>
      <c r="H44" s="157"/>
      <c r="I44" s="301"/>
      <c r="M44" s="175"/>
      <c r="N44" s="176" t="s">
        <v>84</v>
      </c>
    </row>
    <row r="45" spans="1:14" hidden="1" x14ac:dyDescent="0.25">
      <c r="A45" s="146"/>
      <c r="B45" s="277"/>
      <c r="C45" s="153"/>
      <c r="D45" s="160"/>
      <c r="E45" s="161"/>
      <c r="F45" s="157"/>
      <c r="G45" s="156"/>
      <c r="H45" s="157"/>
      <c r="I45" s="301"/>
      <c r="J45" s="139" t="s">
        <v>178</v>
      </c>
      <c r="K45" s="139">
        <v>6</v>
      </c>
      <c r="M45" s="177">
        <v>1</v>
      </c>
      <c r="N45" s="163" t="s">
        <v>17</v>
      </c>
    </row>
    <row r="46" spans="1:14" x14ac:dyDescent="0.25">
      <c r="A46" s="146"/>
      <c r="B46" s="277"/>
      <c r="C46" s="153"/>
      <c r="D46" s="160"/>
      <c r="E46" s="161"/>
      <c r="F46" s="157"/>
      <c r="G46" s="156"/>
      <c r="H46" s="157"/>
      <c r="I46" s="301"/>
      <c r="M46" s="175">
        <v>2</v>
      </c>
      <c r="N46" s="163" t="s">
        <v>18</v>
      </c>
    </row>
    <row r="47" spans="1:14" hidden="1" x14ac:dyDescent="0.25">
      <c r="A47" s="146"/>
      <c r="B47" s="277"/>
      <c r="C47" s="153"/>
      <c r="D47" s="160"/>
      <c r="E47" s="161"/>
      <c r="F47" s="157"/>
      <c r="G47" s="156"/>
      <c r="H47" s="157"/>
      <c r="I47" s="301"/>
      <c r="J47" s="139" t="s">
        <v>178</v>
      </c>
      <c r="K47" s="139">
        <v>4</v>
      </c>
      <c r="M47" s="175">
        <v>3</v>
      </c>
      <c r="N47" s="163" t="s">
        <v>19</v>
      </c>
    </row>
    <row r="48" spans="1:14" x14ac:dyDescent="0.25">
      <c r="A48" s="146"/>
      <c r="B48" s="277"/>
      <c r="C48" s="153"/>
      <c r="D48" s="160"/>
      <c r="E48" s="161"/>
      <c r="F48" s="157"/>
      <c r="G48" s="156"/>
      <c r="H48" s="157"/>
      <c r="I48" s="301"/>
      <c r="M48" s="175">
        <v>4</v>
      </c>
      <c r="N48" s="163" t="s">
        <v>20</v>
      </c>
    </row>
    <row r="49" spans="1:14" x14ac:dyDescent="0.25">
      <c r="A49" s="146"/>
      <c r="B49" s="277"/>
      <c r="C49" s="153"/>
      <c r="D49" s="160"/>
      <c r="E49" s="161"/>
      <c r="F49" s="157"/>
      <c r="G49" s="156"/>
      <c r="H49" s="157"/>
      <c r="I49" s="301"/>
      <c r="M49" s="175">
        <v>5</v>
      </c>
      <c r="N49" s="164" t="s">
        <v>156</v>
      </c>
    </row>
    <row r="50" spans="1:14" ht="15.75" hidden="1" thickBot="1" x14ac:dyDescent="0.3">
      <c r="A50" s="146"/>
      <c r="B50" s="277"/>
      <c r="C50" s="153"/>
      <c r="D50" s="160"/>
      <c r="E50" s="161"/>
      <c r="F50" s="157"/>
      <c r="G50" s="156"/>
      <c r="H50" s="157"/>
      <c r="I50" s="301"/>
      <c r="J50" s="139" t="s">
        <v>178</v>
      </c>
      <c r="K50" s="139">
        <v>1</v>
      </c>
      <c r="M50" s="175">
        <v>6</v>
      </c>
      <c r="N50" s="165" t="s">
        <v>21</v>
      </c>
    </row>
    <row r="51" spans="1:14" hidden="1" x14ac:dyDescent="0.25">
      <c r="A51" s="146"/>
      <c r="B51" s="277"/>
      <c r="C51" s="153"/>
      <c r="D51" s="160"/>
      <c r="E51" s="161"/>
      <c r="F51" s="157"/>
      <c r="G51" s="156"/>
      <c r="H51" s="157"/>
      <c r="I51" s="301"/>
      <c r="J51" s="139" t="s">
        <v>178</v>
      </c>
      <c r="K51" s="139">
        <v>1</v>
      </c>
      <c r="M51" s="178"/>
      <c r="N51" s="179" t="s">
        <v>83</v>
      </c>
    </row>
    <row r="52" spans="1:14" hidden="1" x14ac:dyDescent="0.25">
      <c r="A52" s="146"/>
      <c r="B52" s="277"/>
      <c r="C52" s="153"/>
      <c r="D52" s="160"/>
      <c r="E52" s="161"/>
      <c r="F52" s="157"/>
      <c r="G52" s="156"/>
      <c r="H52" s="157"/>
      <c r="I52" s="301"/>
      <c r="J52" s="139" t="s">
        <v>178</v>
      </c>
      <c r="K52" s="139">
        <v>1</v>
      </c>
      <c r="M52" s="178">
        <v>1</v>
      </c>
      <c r="N52" s="168" t="s">
        <v>25</v>
      </c>
    </row>
    <row r="53" spans="1:14" ht="15.75" thickBot="1" x14ac:dyDescent="0.3">
      <c r="A53" s="146"/>
      <c r="B53" s="277"/>
      <c r="C53" s="153"/>
      <c r="D53" s="160"/>
      <c r="E53" s="161"/>
      <c r="F53" s="157"/>
      <c r="G53" s="156"/>
      <c r="H53" s="157"/>
      <c r="I53" s="301"/>
      <c r="M53" s="178">
        <v>2</v>
      </c>
      <c r="N53" s="180" t="s">
        <v>116</v>
      </c>
    </row>
    <row r="54" spans="1:14" x14ac:dyDescent="0.25">
      <c r="A54" s="146"/>
      <c r="B54" s="277"/>
      <c r="C54" s="153"/>
      <c r="D54" s="160"/>
      <c r="E54" s="161"/>
      <c r="F54" s="157"/>
      <c r="G54" s="156"/>
      <c r="H54" s="157"/>
      <c r="I54" s="157"/>
      <c r="J54" s="157"/>
      <c r="M54" s="181"/>
      <c r="N54" s="182" t="s">
        <v>5</v>
      </c>
    </row>
    <row r="55" spans="1:14" hidden="1" x14ac:dyDescent="0.25">
      <c r="A55" s="146"/>
      <c r="B55" s="277"/>
      <c r="C55" s="153"/>
      <c r="D55" s="160"/>
      <c r="E55" s="161"/>
      <c r="F55" s="157"/>
      <c r="G55" s="156"/>
      <c r="H55" s="157"/>
      <c r="I55" s="301"/>
      <c r="J55" s="139" t="s">
        <v>178</v>
      </c>
      <c r="K55" s="139">
        <v>4</v>
      </c>
      <c r="M55" s="181">
        <v>1</v>
      </c>
      <c r="N55" s="168" t="s">
        <v>8</v>
      </c>
    </row>
    <row r="56" spans="1:14" x14ac:dyDescent="0.25">
      <c r="A56" s="146"/>
      <c r="B56" s="277"/>
      <c r="C56" s="153"/>
      <c r="D56" s="160"/>
      <c r="E56" s="161"/>
      <c r="F56" s="157"/>
      <c r="G56" s="156"/>
      <c r="H56" s="157"/>
      <c r="I56" s="301"/>
      <c r="M56" s="181">
        <v>2</v>
      </c>
      <c r="N56" s="168" t="s">
        <v>120</v>
      </c>
    </row>
    <row r="57" spans="1:14" x14ac:dyDescent="0.25">
      <c r="A57" s="146"/>
      <c r="B57" s="277"/>
      <c r="C57" s="153"/>
      <c r="D57" s="160"/>
      <c r="E57" s="161"/>
      <c r="F57" s="157"/>
      <c r="G57" s="156"/>
      <c r="H57" s="157"/>
      <c r="I57" s="301"/>
      <c r="M57" s="181">
        <v>3</v>
      </c>
      <c r="N57" s="168" t="s">
        <v>45</v>
      </c>
    </row>
    <row r="58" spans="1:14" hidden="1" x14ac:dyDescent="0.25">
      <c r="A58" s="146"/>
      <c r="B58" s="277"/>
      <c r="C58" s="153"/>
      <c r="D58" s="160"/>
      <c r="E58" s="161"/>
      <c r="F58" s="157"/>
      <c r="G58" s="156"/>
      <c r="H58" s="157"/>
      <c r="I58" s="301"/>
      <c r="J58" s="139" t="s">
        <v>178</v>
      </c>
      <c r="K58" s="139">
        <v>1</v>
      </c>
      <c r="M58" s="181">
        <v>4</v>
      </c>
      <c r="N58" s="168" t="s">
        <v>81</v>
      </c>
    </row>
    <row r="59" spans="1:14" x14ac:dyDescent="0.25">
      <c r="A59" s="146"/>
      <c r="B59" s="277"/>
      <c r="C59" s="153"/>
      <c r="D59" s="160"/>
      <c r="E59" s="161"/>
      <c r="F59" s="157"/>
      <c r="G59" s="156"/>
      <c r="H59" s="157"/>
      <c r="I59" s="301"/>
      <c r="M59" s="181">
        <v>5</v>
      </c>
      <c r="N59" s="139" t="s">
        <v>157</v>
      </c>
    </row>
    <row r="60" spans="1:14" x14ac:dyDescent="0.25">
      <c r="A60" s="146"/>
      <c r="B60" s="277"/>
      <c r="C60" s="153"/>
      <c r="D60" s="160"/>
      <c r="E60" s="161"/>
      <c r="F60" s="157"/>
      <c r="G60" s="156"/>
      <c r="H60" s="157"/>
      <c r="I60" s="301"/>
    </row>
    <row r="61" spans="1:14" hidden="1" x14ac:dyDescent="0.25">
      <c r="A61" s="146"/>
      <c r="B61" s="277"/>
      <c r="C61" s="153"/>
      <c r="D61" s="160"/>
      <c r="E61" s="161"/>
      <c r="F61" s="157"/>
      <c r="G61" s="156"/>
      <c r="H61" s="157"/>
      <c r="I61" s="301"/>
      <c r="J61" s="139" t="s">
        <v>178</v>
      </c>
      <c r="K61" s="139">
        <v>11</v>
      </c>
    </row>
    <row r="62" spans="1:14" hidden="1" x14ac:dyDescent="0.25">
      <c r="A62" s="146"/>
      <c r="B62" s="277"/>
      <c r="C62" s="153"/>
      <c r="D62" s="160"/>
      <c r="E62" s="161"/>
      <c r="F62" s="157"/>
      <c r="G62" s="156"/>
      <c r="H62" s="157"/>
      <c r="I62" s="301"/>
      <c r="J62" s="139" t="s">
        <v>178</v>
      </c>
      <c r="K62" s="139">
        <v>3</v>
      </c>
    </row>
    <row r="63" spans="1:14" x14ac:dyDescent="0.25">
      <c r="A63" s="146"/>
      <c r="B63" s="277"/>
      <c r="C63" s="153"/>
      <c r="D63" s="160"/>
      <c r="E63" s="161"/>
      <c r="F63" s="157"/>
      <c r="G63" s="156"/>
      <c r="H63" s="157"/>
      <c r="I63" s="301"/>
    </row>
    <row r="64" spans="1:14" x14ac:dyDescent="0.25">
      <c r="A64" s="146"/>
      <c r="B64" s="277"/>
      <c r="C64" s="153"/>
      <c r="D64" s="160"/>
      <c r="E64" s="161"/>
      <c r="F64" s="157"/>
      <c r="G64" s="156"/>
      <c r="H64" s="157"/>
      <c r="I64" s="301"/>
    </row>
    <row r="65" spans="1:11" x14ac:dyDescent="0.25">
      <c r="A65" s="146"/>
      <c r="B65" s="277"/>
      <c r="C65" s="153"/>
      <c r="D65" s="160"/>
      <c r="E65" s="161"/>
      <c r="F65" s="157"/>
      <c r="G65" s="156"/>
      <c r="H65" s="157"/>
      <c r="I65" s="301"/>
    </row>
    <row r="66" spans="1:11" x14ac:dyDescent="0.25">
      <c r="A66" s="146"/>
      <c r="B66" s="277"/>
      <c r="C66" s="153"/>
      <c r="D66" s="160"/>
      <c r="E66" s="161"/>
      <c r="F66" s="157"/>
      <c r="G66" s="156"/>
      <c r="H66" s="157"/>
      <c r="I66" s="301"/>
    </row>
    <row r="67" spans="1:11" x14ac:dyDescent="0.25">
      <c r="A67" s="146"/>
      <c r="B67" s="277"/>
      <c r="C67" s="153"/>
      <c r="D67" s="160"/>
      <c r="E67" s="161"/>
      <c r="F67" s="157"/>
      <c r="G67" s="156"/>
      <c r="H67" s="157"/>
      <c r="I67" s="301"/>
    </row>
    <row r="68" spans="1:11" x14ac:dyDescent="0.25">
      <c r="A68" s="146"/>
      <c r="B68" s="277"/>
      <c r="C68" s="153"/>
      <c r="D68" s="160"/>
      <c r="E68" s="161"/>
      <c r="F68" s="157"/>
      <c r="G68" s="156"/>
      <c r="H68" s="157"/>
      <c r="I68" s="301"/>
    </row>
    <row r="69" spans="1:11" x14ac:dyDescent="0.25">
      <c r="A69" s="146"/>
      <c r="B69" s="277"/>
      <c r="C69" s="153"/>
      <c r="D69" s="160"/>
      <c r="E69" s="161"/>
      <c r="F69" s="157"/>
      <c r="G69" s="156"/>
      <c r="H69" s="157"/>
      <c r="I69" s="301"/>
    </row>
    <row r="70" spans="1:11" x14ac:dyDescent="0.25">
      <c r="A70" s="146"/>
      <c r="B70" s="277"/>
      <c r="C70" s="153"/>
      <c r="D70" s="160"/>
      <c r="E70" s="161"/>
      <c r="F70" s="157"/>
      <c r="G70" s="156"/>
      <c r="H70" s="157"/>
      <c r="I70" s="301"/>
    </row>
    <row r="71" spans="1:11" hidden="1" x14ac:dyDescent="0.25">
      <c r="A71" s="146"/>
      <c r="B71" s="277"/>
      <c r="C71" s="153"/>
      <c r="D71" s="160"/>
      <c r="E71" s="161"/>
      <c r="F71" s="157"/>
      <c r="G71" s="156"/>
      <c r="H71" s="157"/>
      <c r="I71" s="301"/>
      <c r="J71" s="139" t="s">
        <v>178</v>
      </c>
      <c r="K71" s="139">
        <v>4</v>
      </c>
    </row>
    <row r="72" spans="1:11" x14ac:dyDescent="0.25">
      <c r="A72" s="146"/>
      <c r="B72" s="277"/>
      <c r="C72" s="153"/>
      <c r="D72" s="160"/>
      <c r="E72" s="161"/>
      <c r="F72" s="157"/>
      <c r="G72" s="156"/>
      <c r="H72" s="157"/>
      <c r="I72" s="301"/>
    </row>
    <row r="73" spans="1:11" hidden="1" x14ac:dyDescent="0.25">
      <c r="A73" s="146"/>
      <c r="B73" s="277"/>
      <c r="C73" s="153"/>
      <c r="D73" s="160"/>
      <c r="E73" s="161"/>
      <c r="F73" s="157"/>
      <c r="G73" s="156"/>
      <c r="H73" s="157"/>
      <c r="I73" s="301"/>
      <c r="J73" s="139" t="s">
        <v>178</v>
      </c>
      <c r="K73" s="139">
        <v>1</v>
      </c>
    </row>
    <row r="74" spans="1:11" x14ac:dyDescent="0.25">
      <c r="A74" s="146"/>
      <c r="B74" s="277"/>
      <c r="C74" s="153"/>
      <c r="D74" s="160"/>
      <c r="E74" s="161"/>
      <c r="F74" s="157"/>
      <c r="G74" s="156"/>
      <c r="H74" s="157"/>
      <c r="I74" s="301"/>
    </row>
    <row r="75" spans="1:11" x14ac:dyDescent="0.25">
      <c r="A75" s="146"/>
      <c r="B75" s="277"/>
      <c r="C75" s="153"/>
      <c r="D75" s="160"/>
      <c r="E75" s="161"/>
      <c r="F75" s="157"/>
      <c r="G75" s="156"/>
      <c r="H75" s="157"/>
      <c r="I75" s="301"/>
    </row>
    <row r="76" spans="1:11" x14ac:dyDescent="0.25">
      <c r="A76" s="146"/>
      <c r="B76" s="277"/>
      <c r="C76" s="153"/>
      <c r="D76" s="160"/>
      <c r="E76" s="161"/>
      <c r="F76" s="157"/>
      <c r="G76" s="156"/>
      <c r="H76" s="157"/>
      <c r="I76" s="301"/>
    </row>
    <row r="77" spans="1:11" x14ac:dyDescent="0.25">
      <c r="A77" s="146"/>
      <c r="B77" s="277"/>
      <c r="C77" s="153"/>
      <c r="D77" s="160"/>
      <c r="E77" s="161"/>
      <c r="F77" s="157"/>
      <c r="G77" s="156"/>
      <c r="H77" s="157"/>
      <c r="I77" s="301"/>
    </row>
    <row r="78" spans="1:11" x14ac:dyDescent="0.25">
      <c r="A78" s="146"/>
      <c r="B78" s="277"/>
      <c r="C78" s="153"/>
      <c r="D78" s="160"/>
      <c r="E78" s="161"/>
      <c r="F78" s="157"/>
      <c r="G78" s="156"/>
      <c r="H78" s="157"/>
      <c r="I78" s="301"/>
    </row>
    <row r="79" spans="1:11" x14ac:dyDescent="0.25">
      <c r="A79" s="146"/>
      <c r="B79" s="277"/>
      <c r="C79" s="153"/>
      <c r="D79" s="160"/>
      <c r="E79" s="161"/>
      <c r="F79" s="157"/>
      <c r="G79" s="156"/>
      <c r="H79" s="157"/>
      <c r="I79" s="301"/>
    </row>
    <row r="80" spans="1:11" x14ac:dyDescent="0.25">
      <c r="A80" s="146"/>
      <c r="B80" s="277"/>
      <c r="C80" s="153"/>
      <c r="D80" s="160"/>
      <c r="E80" s="161"/>
      <c r="F80" s="157"/>
      <c r="G80" s="156"/>
      <c r="H80" s="157"/>
      <c r="I80" s="301"/>
    </row>
    <row r="81" spans="1:11" x14ac:dyDescent="0.25">
      <c r="A81" s="146"/>
      <c r="B81" s="277"/>
      <c r="C81" s="153"/>
      <c r="D81" s="160"/>
      <c r="E81" s="161"/>
      <c r="F81" s="157"/>
      <c r="G81" s="156"/>
      <c r="H81" s="157"/>
      <c r="I81" s="301"/>
    </row>
    <row r="82" spans="1:11" x14ac:dyDescent="0.25">
      <c r="A82" s="146"/>
      <c r="B82" s="277"/>
      <c r="C82" s="153"/>
      <c r="D82" s="160"/>
      <c r="E82" s="161"/>
      <c r="F82" s="157"/>
      <c r="G82" s="156"/>
      <c r="H82" s="157"/>
      <c r="I82" s="301"/>
    </row>
    <row r="83" spans="1:11" x14ac:dyDescent="0.25">
      <c r="A83" s="146"/>
      <c r="B83" s="277"/>
      <c r="C83" s="153"/>
      <c r="D83" s="160"/>
      <c r="E83" s="161"/>
      <c r="F83" s="157"/>
      <c r="G83" s="156"/>
      <c r="H83" s="157"/>
      <c r="I83" s="301"/>
    </row>
    <row r="84" spans="1:11" hidden="1" x14ac:dyDescent="0.25">
      <c r="A84" s="146"/>
      <c r="B84" s="277"/>
      <c r="C84" s="153"/>
      <c r="D84" s="160"/>
      <c r="E84" s="161"/>
      <c r="F84" s="157"/>
      <c r="G84" s="156"/>
      <c r="H84" s="157"/>
      <c r="I84" s="301"/>
      <c r="J84" s="139" t="s">
        <v>178</v>
      </c>
      <c r="K84" s="139">
        <v>1</v>
      </c>
    </row>
    <row r="85" spans="1:11" x14ac:dyDescent="0.25">
      <c r="A85" s="146"/>
      <c r="B85" s="277"/>
      <c r="C85" s="153"/>
      <c r="D85" s="160"/>
      <c r="E85" s="161"/>
      <c r="F85" s="157"/>
      <c r="G85" s="156"/>
      <c r="H85" s="157"/>
      <c r="I85" s="301"/>
    </row>
    <row r="86" spans="1:11" hidden="1" x14ac:dyDescent="0.25">
      <c r="A86" s="146"/>
      <c r="B86" s="277"/>
      <c r="C86" s="153"/>
      <c r="D86" s="160"/>
      <c r="E86" s="161"/>
      <c r="F86" s="157"/>
      <c r="G86" s="156"/>
      <c r="H86" s="157"/>
      <c r="I86" s="301"/>
      <c r="J86" s="139" t="s">
        <v>178</v>
      </c>
      <c r="K86" s="139">
        <v>4</v>
      </c>
    </row>
    <row r="87" spans="1:11" x14ac:dyDescent="0.25">
      <c r="A87" s="146"/>
      <c r="B87" s="277"/>
      <c r="C87" s="153"/>
      <c r="D87" s="160"/>
      <c r="E87" s="161"/>
      <c r="F87" s="157"/>
      <c r="G87" s="156"/>
      <c r="H87" s="157"/>
      <c r="I87" s="301"/>
    </row>
    <row r="88" spans="1:11" hidden="1" x14ac:dyDescent="0.25">
      <c r="A88" s="146"/>
      <c r="B88" s="277"/>
      <c r="C88" s="153"/>
      <c r="D88" s="160"/>
      <c r="E88" s="161"/>
      <c r="F88" s="157"/>
      <c r="G88" s="156"/>
      <c r="H88" s="157"/>
      <c r="I88" s="301"/>
      <c r="J88" s="139" t="s">
        <v>178</v>
      </c>
      <c r="K88" s="139">
        <v>11</v>
      </c>
    </row>
    <row r="89" spans="1:11" x14ac:dyDescent="0.25">
      <c r="A89" s="146"/>
      <c r="B89" s="277"/>
      <c r="C89" s="153"/>
      <c r="D89" s="160"/>
      <c r="E89" s="161"/>
      <c r="F89" s="157"/>
      <c r="G89" s="156"/>
      <c r="H89" s="157"/>
      <c r="I89" s="301"/>
    </row>
    <row r="90" spans="1:11" x14ac:dyDescent="0.25">
      <c r="A90" s="146"/>
      <c r="B90" s="277"/>
      <c r="C90" s="153"/>
      <c r="D90" s="160"/>
      <c r="E90" s="161"/>
      <c r="F90" s="157"/>
      <c r="G90" s="156"/>
      <c r="H90" s="157"/>
      <c r="I90" s="301"/>
    </row>
    <row r="91" spans="1:11" x14ac:dyDescent="0.25">
      <c r="A91" s="146"/>
      <c r="B91" s="277"/>
      <c r="C91" s="153"/>
      <c r="D91" s="160"/>
      <c r="E91" s="161"/>
      <c r="F91" s="157"/>
      <c r="G91" s="156"/>
      <c r="H91" s="157"/>
      <c r="I91" s="301"/>
    </row>
    <row r="92" spans="1:11" x14ac:dyDescent="0.25">
      <c r="A92" s="146"/>
      <c r="B92" s="277"/>
      <c r="C92" s="153"/>
      <c r="D92" s="160"/>
      <c r="E92" s="161"/>
      <c r="F92" s="157"/>
      <c r="G92" s="156"/>
      <c r="H92" s="157"/>
      <c r="I92" s="301"/>
    </row>
    <row r="93" spans="1:11" hidden="1" x14ac:dyDescent="0.25">
      <c r="A93" s="146"/>
      <c r="B93" s="277"/>
      <c r="C93" s="153"/>
      <c r="D93" s="160"/>
      <c r="E93" s="161"/>
      <c r="F93" s="157"/>
      <c r="G93" s="156"/>
      <c r="H93" s="157"/>
      <c r="I93" s="301"/>
      <c r="J93" s="139" t="s">
        <v>178</v>
      </c>
      <c r="K93" s="139">
        <v>1</v>
      </c>
    </row>
    <row r="94" spans="1:11" x14ac:dyDescent="0.25">
      <c r="A94" s="146"/>
      <c r="B94" s="277"/>
      <c r="C94" s="153"/>
      <c r="D94" s="160"/>
      <c r="E94" s="161"/>
      <c r="F94" s="157"/>
      <c r="G94" s="156"/>
      <c r="H94" s="157"/>
      <c r="I94" s="301"/>
    </row>
    <row r="95" spans="1:11" x14ac:dyDescent="0.25">
      <c r="A95" s="146"/>
      <c r="B95" s="277"/>
      <c r="C95" s="153"/>
      <c r="D95" s="160"/>
      <c r="E95" s="161"/>
      <c r="F95" s="157"/>
      <c r="G95" s="156"/>
      <c r="H95" s="157"/>
      <c r="I95" s="301"/>
    </row>
    <row r="96" spans="1:11" x14ac:dyDescent="0.25">
      <c r="A96" s="146"/>
      <c r="B96" s="277"/>
      <c r="C96" s="153"/>
      <c r="D96" s="160"/>
      <c r="E96" s="161"/>
      <c r="F96" s="157"/>
      <c r="G96" s="156"/>
      <c r="H96" s="157"/>
      <c r="I96" s="301"/>
    </row>
    <row r="97" spans="1:11" x14ac:dyDescent="0.25">
      <c r="A97" s="146"/>
      <c r="B97" s="277"/>
      <c r="C97" s="153"/>
      <c r="D97" s="160"/>
      <c r="E97" s="161"/>
      <c r="F97" s="157"/>
      <c r="G97" s="156"/>
      <c r="H97" s="157"/>
      <c r="I97" s="301"/>
    </row>
    <row r="98" spans="1:11" hidden="1" x14ac:dyDescent="0.25">
      <c r="A98" s="146"/>
      <c r="B98" s="277"/>
      <c r="C98" s="153"/>
      <c r="D98" s="160"/>
      <c r="E98" s="161"/>
      <c r="F98" s="157"/>
      <c r="G98" s="156"/>
      <c r="H98" s="157"/>
      <c r="I98" s="301"/>
      <c r="J98" s="139" t="s">
        <v>178</v>
      </c>
      <c r="K98" s="139">
        <v>1</v>
      </c>
    </row>
    <row r="99" spans="1:11" hidden="1" x14ac:dyDescent="0.25">
      <c r="A99" s="146"/>
      <c r="B99" s="277"/>
      <c r="C99" s="153"/>
      <c r="D99" s="270"/>
      <c r="E99" s="161"/>
      <c r="F99" s="157"/>
      <c r="G99" s="156"/>
      <c r="H99" s="157"/>
      <c r="I99" s="301"/>
      <c r="J99" s="139" t="s">
        <v>178</v>
      </c>
      <c r="K99" s="139">
        <v>1</v>
      </c>
    </row>
    <row r="100" spans="1:11" x14ac:dyDescent="0.25">
      <c r="A100" s="146"/>
      <c r="B100" s="277"/>
      <c r="C100" s="153"/>
      <c r="D100" s="160"/>
      <c r="E100" s="161"/>
      <c r="F100" s="157"/>
      <c r="G100" s="156"/>
      <c r="H100" s="157"/>
      <c r="I100" s="301"/>
    </row>
    <row r="101" spans="1:11" hidden="1" x14ac:dyDescent="0.25">
      <c r="A101" s="146"/>
      <c r="B101" s="277"/>
      <c r="C101" s="153"/>
      <c r="D101" s="160"/>
      <c r="E101" s="161"/>
      <c r="F101" s="157"/>
      <c r="G101" s="156"/>
      <c r="H101" s="157"/>
      <c r="I101" s="301"/>
      <c r="J101" s="139" t="s">
        <v>178</v>
      </c>
      <c r="K101" s="139">
        <v>3</v>
      </c>
    </row>
    <row r="102" spans="1:11" x14ac:dyDescent="0.25">
      <c r="A102" s="146"/>
      <c r="B102" s="277"/>
      <c r="C102" s="153"/>
      <c r="D102" s="160"/>
      <c r="E102" s="161"/>
      <c r="F102" s="157"/>
      <c r="G102" s="156"/>
      <c r="H102" s="157"/>
      <c r="I102" s="301"/>
    </row>
    <row r="103" spans="1:11" x14ac:dyDescent="0.25">
      <c r="A103" s="146"/>
      <c r="B103" s="277"/>
      <c r="C103" s="153"/>
      <c r="D103" s="160"/>
      <c r="E103" s="161"/>
      <c r="F103" s="157"/>
      <c r="G103" s="156"/>
      <c r="H103" s="157"/>
      <c r="I103" s="301"/>
    </row>
    <row r="104" spans="1:11" x14ac:dyDescent="0.25">
      <c r="A104" s="146"/>
      <c r="B104" s="277"/>
      <c r="C104" s="153"/>
      <c r="D104" s="160"/>
      <c r="E104" s="161"/>
      <c r="F104" s="157"/>
      <c r="G104" s="156"/>
      <c r="H104" s="157"/>
      <c r="I104" s="301"/>
    </row>
    <row r="105" spans="1:11" x14ac:dyDescent="0.25">
      <c r="A105" s="146"/>
      <c r="B105" s="277"/>
      <c r="C105" s="153"/>
      <c r="D105" s="160"/>
      <c r="E105" s="161"/>
      <c r="F105" s="157"/>
      <c r="G105" s="156"/>
      <c r="H105" s="157"/>
      <c r="I105" s="301"/>
    </row>
    <row r="106" spans="1:11" x14ac:dyDescent="0.25">
      <c r="A106" s="146"/>
      <c r="B106" s="277"/>
      <c r="C106" s="153"/>
      <c r="D106" s="160"/>
      <c r="E106" s="161"/>
      <c r="F106" s="157"/>
      <c r="G106" s="156"/>
      <c r="H106" s="157"/>
      <c r="I106" s="301"/>
    </row>
    <row r="107" spans="1:11" x14ac:dyDescent="0.25">
      <c r="A107" s="146"/>
      <c r="B107" s="277"/>
      <c r="C107" s="153"/>
      <c r="D107" s="160"/>
      <c r="E107" s="161"/>
      <c r="F107" s="157"/>
      <c r="G107" s="156"/>
      <c r="H107" s="157"/>
      <c r="I107" s="301"/>
    </row>
    <row r="108" spans="1:11" x14ac:dyDescent="0.25">
      <c r="A108" s="146"/>
      <c r="B108" s="277"/>
      <c r="C108" s="153"/>
      <c r="D108" s="160"/>
      <c r="E108" s="161"/>
      <c r="F108" s="157"/>
      <c r="G108" s="156"/>
      <c r="H108" s="157"/>
      <c r="I108" s="301"/>
    </row>
    <row r="109" spans="1:11" hidden="1" x14ac:dyDescent="0.25">
      <c r="A109" s="146"/>
      <c r="B109" s="277"/>
      <c r="C109" s="153"/>
      <c r="D109" s="160"/>
      <c r="E109" s="161"/>
      <c r="F109" s="157"/>
      <c r="G109" s="156"/>
      <c r="H109" s="157"/>
      <c r="I109" s="301"/>
      <c r="J109" s="139" t="s">
        <v>178</v>
      </c>
      <c r="K109" s="139">
        <v>4</v>
      </c>
    </row>
    <row r="110" spans="1:11" x14ac:dyDescent="0.25">
      <c r="A110" s="146"/>
      <c r="B110" s="277"/>
      <c r="C110" s="153"/>
      <c r="D110" s="160"/>
      <c r="E110" s="161"/>
      <c r="F110" s="157"/>
      <c r="G110" s="156"/>
      <c r="H110" s="157"/>
      <c r="I110" s="301"/>
    </row>
    <row r="111" spans="1:11" hidden="1" x14ac:dyDescent="0.25">
      <c r="A111" s="146"/>
      <c r="B111" s="277"/>
      <c r="C111" s="153"/>
      <c r="D111" s="160"/>
      <c r="E111" s="161"/>
      <c r="F111" s="157"/>
      <c r="G111" s="156"/>
      <c r="H111" s="157"/>
      <c r="I111" s="301"/>
      <c r="J111" s="139" t="s">
        <v>178</v>
      </c>
      <c r="K111" s="139">
        <v>1</v>
      </c>
    </row>
    <row r="112" spans="1:11" hidden="1" x14ac:dyDescent="0.25">
      <c r="A112" s="146"/>
      <c r="B112" s="277"/>
      <c r="C112" s="153"/>
      <c r="D112" s="160"/>
      <c r="E112" s="161"/>
      <c r="F112" s="157"/>
      <c r="G112" s="156"/>
      <c r="H112" s="157"/>
      <c r="I112" s="301"/>
      <c r="J112" s="139" t="s">
        <v>178</v>
      </c>
      <c r="K112" s="139">
        <v>1</v>
      </c>
    </row>
    <row r="113" spans="1:11" x14ac:dyDescent="0.25">
      <c r="A113" s="146"/>
      <c r="B113" s="277"/>
      <c r="C113" s="153"/>
      <c r="D113" s="160"/>
      <c r="E113" s="161"/>
      <c r="F113" s="157"/>
      <c r="G113" s="156"/>
      <c r="H113" s="157"/>
      <c r="I113" s="301"/>
    </row>
    <row r="114" spans="1:11" x14ac:dyDescent="0.25">
      <c r="A114" s="146"/>
      <c r="B114" s="277"/>
      <c r="C114" s="153"/>
      <c r="D114" s="160"/>
      <c r="E114" s="161"/>
      <c r="F114" s="157"/>
      <c r="G114" s="156"/>
      <c r="H114" s="157"/>
      <c r="I114" s="301"/>
    </row>
    <row r="115" spans="1:11" x14ac:dyDescent="0.25">
      <c r="A115" s="146"/>
      <c r="B115" s="277"/>
      <c r="C115" s="153"/>
      <c r="D115" s="160"/>
      <c r="E115" s="161"/>
      <c r="F115" s="157"/>
      <c r="G115" s="156"/>
      <c r="H115" s="157"/>
      <c r="I115" s="301"/>
    </row>
    <row r="116" spans="1:11" x14ac:dyDescent="0.25">
      <c r="A116" s="146"/>
      <c r="B116" s="277"/>
      <c r="C116" s="153"/>
      <c r="D116" s="160"/>
      <c r="E116" s="161"/>
      <c r="F116" s="157"/>
      <c r="G116" s="156"/>
      <c r="H116" s="157"/>
      <c r="I116" s="301"/>
    </row>
    <row r="117" spans="1:11" hidden="1" x14ac:dyDescent="0.25">
      <c r="A117" s="146"/>
      <c r="B117" s="277"/>
      <c r="C117" s="153"/>
      <c r="D117" s="160"/>
      <c r="E117" s="161"/>
      <c r="F117" s="157"/>
      <c r="G117" s="156"/>
      <c r="H117" s="157"/>
      <c r="I117" s="301"/>
      <c r="J117" s="139" t="s">
        <v>178</v>
      </c>
      <c r="K117" s="139">
        <v>4</v>
      </c>
    </row>
    <row r="118" spans="1:11" x14ac:dyDescent="0.25">
      <c r="A118" s="146"/>
      <c r="B118" s="277"/>
      <c r="C118" s="153"/>
      <c r="D118" s="160"/>
      <c r="E118" s="161"/>
      <c r="F118" s="157"/>
      <c r="G118" s="156"/>
      <c r="H118" s="157"/>
      <c r="I118" s="301"/>
    </row>
    <row r="119" spans="1:11" hidden="1" x14ac:dyDescent="0.25">
      <c r="A119" s="146"/>
      <c r="B119" s="277"/>
      <c r="C119" s="153"/>
      <c r="D119" s="160"/>
      <c r="E119" s="161"/>
      <c r="F119" s="157"/>
      <c r="G119" s="156"/>
      <c r="H119" s="157"/>
      <c r="I119" s="301"/>
      <c r="J119" s="139" t="s">
        <v>178</v>
      </c>
      <c r="K119" s="139">
        <v>1</v>
      </c>
    </row>
    <row r="120" spans="1:11" x14ac:dyDescent="0.25">
      <c r="A120" s="146"/>
      <c r="B120" s="277"/>
      <c r="C120" s="153"/>
      <c r="D120" s="160"/>
      <c r="E120" s="161"/>
      <c r="F120" s="157"/>
      <c r="G120" s="156"/>
      <c r="H120" s="157"/>
      <c r="I120" s="301"/>
    </row>
    <row r="121" spans="1:11" x14ac:dyDescent="0.25">
      <c r="A121" s="146"/>
      <c r="B121" s="277"/>
      <c r="C121" s="153"/>
      <c r="D121" s="160"/>
      <c r="E121" s="161"/>
      <c r="F121" s="157"/>
      <c r="G121" s="156"/>
      <c r="H121" s="157"/>
      <c r="I121" s="301"/>
    </row>
    <row r="122" spans="1:11" x14ac:dyDescent="0.25">
      <c r="A122" s="146"/>
      <c r="B122" s="277"/>
      <c r="C122" s="153"/>
      <c r="D122" s="160"/>
      <c r="E122" s="161"/>
      <c r="F122" s="157"/>
      <c r="G122" s="156"/>
      <c r="H122" s="157"/>
      <c r="I122" s="301"/>
    </row>
    <row r="123" spans="1:11" x14ac:dyDescent="0.25">
      <c r="A123" s="146"/>
      <c r="B123" s="277"/>
      <c r="C123" s="153"/>
      <c r="D123" s="160"/>
      <c r="E123" s="161"/>
      <c r="F123" s="157"/>
      <c r="G123" s="156"/>
      <c r="H123" s="157"/>
      <c r="I123" s="301"/>
    </row>
    <row r="124" spans="1:11" x14ac:dyDescent="0.25">
      <c r="A124" s="146"/>
      <c r="B124" s="277"/>
      <c r="C124" s="153"/>
      <c r="D124" s="160"/>
      <c r="E124" s="161"/>
      <c r="F124" s="157"/>
      <c r="G124" s="156"/>
      <c r="H124" s="157"/>
      <c r="I124" s="301"/>
    </row>
    <row r="125" spans="1:11" hidden="1" x14ac:dyDescent="0.25">
      <c r="A125" s="146"/>
      <c r="B125" s="277"/>
      <c r="C125" s="153"/>
      <c r="D125" s="160"/>
      <c r="E125" s="161"/>
      <c r="F125" s="157"/>
      <c r="G125" s="156"/>
      <c r="H125" s="157"/>
      <c r="I125" s="301"/>
      <c r="J125" s="139" t="s">
        <v>178</v>
      </c>
      <c r="K125" s="139">
        <v>6</v>
      </c>
    </row>
    <row r="126" spans="1:11" hidden="1" x14ac:dyDescent="0.25">
      <c r="A126" s="146"/>
      <c r="B126" s="277"/>
      <c r="C126" s="153"/>
      <c r="D126" s="160"/>
      <c r="E126" s="161"/>
      <c r="F126" s="157"/>
      <c r="G126" s="156"/>
      <c r="H126" s="157"/>
      <c r="I126" s="301"/>
      <c r="J126" s="139" t="s">
        <v>178</v>
      </c>
      <c r="K126" s="139">
        <v>4</v>
      </c>
    </row>
    <row r="127" spans="1:11" x14ac:dyDescent="0.25">
      <c r="A127" s="146"/>
      <c r="B127" s="277"/>
      <c r="C127" s="153"/>
      <c r="D127" s="160"/>
      <c r="E127" s="161"/>
      <c r="F127" s="157"/>
      <c r="G127" s="156"/>
      <c r="H127" s="157"/>
      <c r="I127" s="301"/>
    </row>
    <row r="128" spans="1:11" x14ac:dyDescent="0.25">
      <c r="A128" s="146"/>
      <c r="B128" s="277"/>
      <c r="C128" s="153"/>
      <c r="D128" s="160"/>
      <c r="E128" s="161"/>
      <c r="F128" s="157"/>
      <c r="G128" s="156"/>
      <c r="H128" s="157"/>
      <c r="I128" s="301"/>
    </row>
    <row r="129" spans="1:11" x14ac:dyDescent="0.25">
      <c r="A129" s="146"/>
      <c r="B129" s="277"/>
      <c r="C129" s="153"/>
      <c r="D129" s="160"/>
      <c r="E129" s="161"/>
      <c r="F129" s="157"/>
      <c r="G129" s="156"/>
      <c r="H129" s="157"/>
      <c r="I129" s="301"/>
    </row>
    <row r="130" spans="1:11" hidden="1" x14ac:dyDescent="0.25">
      <c r="A130" s="146"/>
      <c r="B130" s="277"/>
      <c r="C130" s="153"/>
      <c r="D130" s="160"/>
      <c r="E130" s="161"/>
      <c r="F130" s="157"/>
      <c r="G130" s="156"/>
      <c r="H130" s="157"/>
      <c r="I130" s="301"/>
      <c r="J130" s="139" t="s">
        <v>178</v>
      </c>
      <c r="K130" s="139">
        <v>1</v>
      </c>
    </row>
    <row r="131" spans="1:11" hidden="1" x14ac:dyDescent="0.25">
      <c r="A131" s="146"/>
      <c r="B131" s="277"/>
      <c r="C131" s="153"/>
      <c r="D131" s="160"/>
      <c r="E131" s="161"/>
      <c r="F131" s="157"/>
      <c r="G131" s="156"/>
      <c r="H131" s="157"/>
      <c r="I131" s="301"/>
      <c r="J131" s="139" t="s">
        <v>178</v>
      </c>
      <c r="K131" s="139">
        <v>11</v>
      </c>
    </row>
    <row r="132" spans="1:11" x14ac:dyDescent="0.25">
      <c r="A132" s="146"/>
      <c r="B132" s="277"/>
      <c r="C132" s="153"/>
      <c r="D132" s="160"/>
      <c r="E132" s="161"/>
      <c r="F132" s="157"/>
      <c r="G132" s="156"/>
      <c r="H132" s="157"/>
      <c r="I132" s="301"/>
    </row>
    <row r="133" spans="1:11" x14ac:dyDescent="0.25">
      <c r="A133" s="146"/>
      <c r="B133" s="277"/>
      <c r="C133" s="153"/>
      <c r="D133" s="160"/>
      <c r="E133" s="161"/>
      <c r="F133" s="157"/>
      <c r="G133" s="156"/>
      <c r="H133" s="157"/>
      <c r="I133" s="301">
        <f t="shared" ref="I133:I144" si="0">SUM(G133:H133)</f>
        <v>0</v>
      </c>
    </row>
    <row r="134" spans="1:11" x14ac:dyDescent="0.25">
      <c r="A134" s="146"/>
      <c r="B134" s="277"/>
      <c r="C134" s="153"/>
      <c r="D134" s="160"/>
      <c r="E134" s="161"/>
      <c r="F134" s="157"/>
      <c r="G134" s="156"/>
      <c r="H134" s="157"/>
      <c r="I134" s="301">
        <f t="shared" si="0"/>
        <v>0</v>
      </c>
    </row>
    <row r="135" spans="1:11" x14ac:dyDescent="0.25">
      <c r="A135" s="146"/>
      <c r="B135" s="277"/>
      <c r="C135" s="153"/>
      <c r="D135" s="160"/>
      <c r="E135" s="161"/>
      <c r="F135" s="157"/>
      <c r="G135" s="156"/>
      <c r="H135" s="157"/>
      <c r="I135" s="301">
        <f t="shared" si="0"/>
        <v>0</v>
      </c>
    </row>
    <row r="136" spans="1:11" x14ac:dyDescent="0.25">
      <c r="A136" s="146"/>
      <c r="B136" s="277"/>
      <c r="C136" s="153"/>
      <c r="D136" s="160"/>
      <c r="E136" s="161"/>
      <c r="F136" s="157"/>
      <c r="G136" s="156"/>
      <c r="H136" s="157"/>
      <c r="I136" s="301">
        <f t="shared" si="0"/>
        <v>0</v>
      </c>
    </row>
    <row r="137" spans="1:11" x14ac:dyDescent="0.25">
      <c r="A137" s="146"/>
      <c r="B137" s="277"/>
      <c r="C137" s="153"/>
      <c r="D137" s="160"/>
      <c r="E137" s="161"/>
      <c r="F137" s="157"/>
      <c r="G137" s="156"/>
      <c r="H137" s="157"/>
      <c r="I137" s="301">
        <f t="shared" si="0"/>
        <v>0</v>
      </c>
    </row>
    <row r="138" spans="1:11" x14ac:dyDescent="0.25">
      <c r="A138" s="146"/>
      <c r="B138" s="277"/>
      <c r="C138" s="153"/>
      <c r="D138" s="160"/>
      <c r="E138" s="161"/>
      <c r="F138" s="157"/>
      <c r="G138" s="156"/>
      <c r="H138" s="157"/>
      <c r="I138" s="301">
        <f t="shared" si="0"/>
        <v>0</v>
      </c>
    </row>
    <row r="139" spans="1:11" x14ac:dyDescent="0.25">
      <c r="A139" s="146"/>
      <c r="B139" s="277"/>
      <c r="C139" s="153"/>
      <c r="D139" s="160"/>
      <c r="E139" s="161"/>
      <c r="F139" s="157"/>
      <c r="G139" s="156"/>
      <c r="H139" s="157"/>
      <c r="I139" s="301">
        <f t="shared" si="0"/>
        <v>0</v>
      </c>
    </row>
    <row r="140" spans="1:11" x14ac:dyDescent="0.25">
      <c r="A140" s="146"/>
      <c r="B140" s="277"/>
      <c r="C140" s="153"/>
      <c r="D140" s="160"/>
      <c r="E140" s="161"/>
      <c r="F140" s="157"/>
      <c r="G140" s="156"/>
      <c r="H140" s="157"/>
      <c r="I140" s="301">
        <f t="shared" si="0"/>
        <v>0</v>
      </c>
    </row>
    <row r="141" spans="1:11" x14ac:dyDescent="0.25">
      <c r="A141" s="146"/>
      <c r="B141" s="277"/>
      <c r="C141" s="153"/>
      <c r="D141" s="160"/>
      <c r="E141" s="161"/>
      <c r="F141" s="157"/>
      <c r="G141" s="156"/>
      <c r="H141" s="157"/>
      <c r="I141" s="301">
        <f t="shared" si="0"/>
        <v>0</v>
      </c>
    </row>
    <row r="142" spans="1:11" x14ac:dyDescent="0.25">
      <c r="A142" s="146"/>
      <c r="B142" s="277"/>
      <c r="C142" s="153"/>
      <c r="D142" s="160"/>
      <c r="E142" s="161"/>
      <c r="F142" s="157"/>
      <c r="G142" s="156"/>
      <c r="H142" s="157"/>
      <c r="I142" s="301">
        <f t="shared" si="0"/>
        <v>0</v>
      </c>
    </row>
    <row r="143" spans="1:11" x14ac:dyDescent="0.25">
      <c r="A143" s="146"/>
      <c r="B143" s="277"/>
      <c r="C143" s="153"/>
      <c r="D143" s="160"/>
      <c r="E143" s="161"/>
      <c r="F143" s="157"/>
      <c r="G143" s="156"/>
      <c r="H143" s="157"/>
      <c r="I143" s="301">
        <f t="shared" si="0"/>
        <v>0</v>
      </c>
    </row>
    <row r="144" spans="1:11" x14ac:dyDescent="0.25">
      <c r="A144" s="146"/>
      <c r="B144" s="277"/>
      <c r="C144" s="153"/>
      <c r="D144" s="160"/>
      <c r="E144" s="161"/>
      <c r="F144" s="157"/>
      <c r="G144" s="156"/>
      <c r="H144" s="157"/>
      <c r="I144" s="301">
        <f t="shared" si="0"/>
        <v>0</v>
      </c>
    </row>
    <row r="145" spans="1:16" x14ac:dyDescent="0.25">
      <c r="A145" s="146"/>
      <c r="B145" s="277"/>
      <c r="C145" s="153"/>
      <c r="D145" s="160"/>
      <c r="E145" s="161"/>
      <c r="F145" s="157"/>
      <c r="G145" s="156"/>
      <c r="H145" s="157"/>
      <c r="I145" s="301">
        <f t="shared" ref="I145:I157" si="1">SUM(G145:H145)</f>
        <v>0</v>
      </c>
    </row>
    <row r="146" spans="1:16" x14ac:dyDescent="0.25">
      <c r="A146" s="146"/>
      <c r="B146" s="277"/>
      <c r="C146" s="153"/>
      <c r="D146" s="160"/>
      <c r="E146" s="161"/>
      <c r="F146" s="157"/>
      <c r="G146" s="156"/>
      <c r="H146" s="157"/>
      <c r="I146" s="301">
        <f t="shared" si="1"/>
        <v>0</v>
      </c>
    </row>
    <row r="147" spans="1:16" x14ac:dyDescent="0.25">
      <c r="A147" s="146"/>
      <c r="B147" s="277"/>
      <c r="C147" s="153"/>
      <c r="D147" s="160"/>
      <c r="E147" s="161"/>
      <c r="F147" s="157"/>
      <c r="G147" s="156"/>
      <c r="H147" s="157"/>
      <c r="I147" s="301">
        <f t="shared" si="1"/>
        <v>0</v>
      </c>
    </row>
    <row r="148" spans="1:16" x14ac:dyDescent="0.25">
      <c r="A148" s="146"/>
      <c r="B148" s="277"/>
      <c r="C148" s="153"/>
      <c r="D148" s="160"/>
      <c r="E148" s="161"/>
      <c r="F148" s="157"/>
      <c r="G148" s="156"/>
      <c r="H148" s="157"/>
      <c r="I148" s="301">
        <f t="shared" si="1"/>
        <v>0</v>
      </c>
    </row>
    <row r="149" spans="1:16" x14ac:dyDescent="0.25">
      <c r="A149" s="146"/>
      <c r="B149" s="277"/>
      <c r="C149" s="153"/>
      <c r="D149" s="160"/>
      <c r="E149" s="161"/>
      <c r="F149" s="157"/>
      <c r="G149" s="156"/>
      <c r="H149" s="157"/>
      <c r="I149" s="301">
        <f t="shared" si="1"/>
        <v>0</v>
      </c>
    </row>
    <row r="150" spans="1:16" x14ac:dyDescent="0.25">
      <c r="A150" s="146"/>
      <c r="B150" s="277"/>
      <c r="C150" s="153"/>
      <c r="D150" s="160"/>
      <c r="E150" s="161"/>
      <c r="F150" s="157"/>
      <c r="G150" s="156"/>
      <c r="H150" s="157"/>
      <c r="I150" s="301">
        <f t="shared" si="1"/>
        <v>0</v>
      </c>
    </row>
    <row r="151" spans="1:16" x14ac:dyDescent="0.25">
      <c r="A151" s="146"/>
      <c r="B151" s="277"/>
      <c r="C151" s="153"/>
      <c r="D151" s="160"/>
      <c r="E151" s="161"/>
      <c r="F151" s="157"/>
      <c r="G151" s="156"/>
      <c r="H151" s="157"/>
      <c r="I151" s="301">
        <f t="shared" si="1"/>
        <v>0</v>
      </c>
    </row>
    <row r="152" spans="1:16" x14ac:dyDescent="0.25">
      <c r="A152" s="146"/>
      <c r="B152" s="277"/>
      <c r="C152" s="153"/>
      <c r="D152" s="160"/>
      <c r="E152" s="161"/>
      <c r="F152" s="157"/>
      <c r="G152" s="156"/>
      <c r="H152" s="157"/>
      <c r="I152" s="301">
        <f t="shared" si="1"/>
        <v>0</v>
      </c>
    </row>
    <row r="153" spans="1:16" x14ac:dyDescent="0.25">
      <c r="A153" s="146"/>
      <c r="B153" s="277"/>
      <c r="C153" s="153"/>
      <c r="D153" s="160"/>
      <c r="E153" s="161"/>
      <c r="F153" s="157"/>
      <c r="G153" s="156"/>
      <c r="H153" s="157"/>
      <c r="I153" s="301">
        <f t="shared" si="1"/>
        <v>0</v>
      </c>
    </row>
    <row r="154" spans="1:16" x14ac:dyDescent="0.25">
      <c r="A154" s="146"/>
      <c r="B154" s="277"/>
      <c r="C154" s="153"/>
      <c r="D154" s="160"/>
      <c r="E154" s="161"/>
      <c r="F154" s="157"/>
      <c r="G154" s="156"/>
      <c r="H154" s="183"/>
      <c r="I154" s="301">
        <f t="shared" si="1"/>
        <v>0</v>
      </c>
    </row>
    <row r="155" spans="1:16" x14ac:dyDescent="0.25">
      <c r="A155" s="146"/>
      <c r="B155" s="279"/>
      <c r="C155" s="184"/>
      <c r="D155" s="185" t="s">
        <v>49</v>
      </c>
      <c r="E155" s="186"/>
      <c r="F155" s="286">
        <f>SUM(F6:F154)</f>
        <v>33309.15</v>
      </c>
      <c r="G155" s="295">
        <f>SUM(G8:G154)</f>
        <v>6870.95</v>
      </c>
      <c r="H155" s="187">
        <f t="shared" ref="H155" si="2">SUM(H8:H154)</f>
        <v>172.84999999999997</v>
      </c>
      <c r="I155" s="301">
        <f t="shared" si="1"/>
        <v>7043.8</v>
      </c>
    </row>
    <row r="156" spans="1:16" x14ac:dyDescent="0.25">
      <c r="A156" s="146"/>
      <c r="B156" s="280"/>
      <c r="C156" s="188"/>
      <c r="D156" s="189"/>
      <c r="E156" s="190" t="s">
        <v>40</v>
      </c>
      <c r="F156" s="287"/>
      <c r="G156" s="296"/>
      <c r="H156" s="191"/>
      <c r="I156" s="301">
        <f t="shared" si="1"/>
        <v>0</v>
      </c>
    </row>
    <row r="157" spans="1:16" x14ac:dyDescent="0.25">
      <c r="A157" s="146"/>
      <c r="B157" s="282" t="s">
        <v>41</v>
      </c>
      <c r="C157" s="192"/>
      <c r="D157" s="192" t="s">
        <v>42</v>
      </c>
      <c r="E157" s="193" t="s">
        <v>43</v>
      </c>
      <c r="F157" s="288" t="s">
        <v>245</v>
      </c>
      <c r="G157" s="297" t="s">
        <v>4</v>
      </c>
      <c r="H157" s="194" t="s">
        <v>47</v>
      </c>
      <c r="I157" s="301">
        <f t="shared" si="1"/>
        <v>0</v>
      </c>
    </row>
    <row r="158" spans="1:16" x14ac:dyDescent="0.25">
      <c r="B158" s="281"/>
      <c r="C158" s="195"/>
      <c r="D158" s="196"/>
      <c r="E158" s="197"/>
      <c r="F158" s="198"/>
      <c r="G158" s="198"/>
      <c r="H158" s="199"/>
      <c r="I158" s="199"/>
    </row>
    <row r="159" spans="1:16" x14ac:dyDescent="0.25">
      <c r="B159" s="281"/>
      <c r="C159" s="195"/>
      <c r="D159" s="200" t="s">
        <v>0</v>
      </c>
      <c r="E159" s="201"/>
      <c r="F159" s="289"/>
      <c r="G159" s="298"/>
      <c r="H159" s="183" t="s">
        <v>50</v>
      </c>
      <c r="I159" s="183"/>
      <c r="L159" s="272">
        <v>11671.75</v>
      </c>
      <c r="N159" s="268" t="s">
        <v>234</v>
      </c>
      <c r="O159" s="269"/>
    </row>
    <row r="160" spans="1:16" x14ac:dyDescent="0.25">
      <c r="B160" s="281"/>
      <c r="C160" s="195"/>
      <c r="D160" s="202" t="s">
        <v>245</v>
      </c>
      <c r="E160" s="203"/>
      <c r="F160" s="290">
        <f>SUM(F155)</f>
        <v>33309.15</v>
      </c>
      <c r="G160" s="298"/>
      <c r="H160" s="183" t="s">
        <v>52</v>
      </c>
      <c r="I160" s="183"/>
      <c r="L160" s="272">
        <v>834.12</v>
      </c>
      <c r="O160" s="183"/>
      <c r="P160" s="183">
        <v>616.42999999999995</v>
      </c>
    </row>
    <row r="161" spans="2:16" x14ac:dyDescent="0.25">
      <c r="B161" s="281"/>
      <c r="C161" s="195"/>
      <c r="D161" s="202" t="s">
        <v>54</v>
      </c>
      <c r="E161" s="203"/>
      <c r="F161" s="290">
        <f>SUM(G155)</f>
        <v>6870.95</v>
      </c>
      <c r="G161" s="298"/>
      <c r="H161" s="204" t="s">
        <v>53</v>
      </c>
      <c r="I161" s="204"/>
      <c r="J161" s="142"/>
      <c r="O161" s="183"/>
      <c r="P161" s="183">
        <v>2112.02</v>
      </c>
    </row>
    <row r="162" spans="2:16" x14ac:dyDescent="0.25">
      <c r="B162" s="281"/>
      <c r="C162" s="195"/>
      <c r="D162" s="202"/>
      <c r="E162" s="203"/>
      <c r="F162" s="291"/>
      <c r="G162" s="298"/>
      <c r="O162" s="204"/>
      <c r="P162" s="205"/>
    </row>
    <row r="163" spans="2:16" x14ac:dyDescent="0.25">
      <c r="B163" s="281"/>
      <c r="C163" s="195"/>
      <c r="D163" s="209" t="s">
        <v>51</v>
      </c>
      <c r="E163" s="210"/>
      <c r="F163" s="292">
        <f>SUM(F160-F161)</f>
        <v>26438.2</v>
      </c>
      <c r="G163" s="298"/>
      <c r="H163" s="199" t="s">
        <v>97</v>
      </c>
      <c r="I163" s="199"/>
      <c r="J163" s="199"/>
      <c r="P163" s="206">
        <f>SUM(P160:P162)</f>
        <v>2728.45</v>
      </c>
    </row>
    <row r="164" spans="2:16" x14ac:dyDescent="0.25">
      <c r="B164" s="281"/>
      <c r="C164" s="207"/>
      <c r="G164" s="298"/>
      <c r="O164" s="143"/>
      <c r="P164" s="183">
        <v>0</v>
      </c>
    </row>
    <row r="165" spans="2:16" x14ac:dyDescent="0.25">
      <c r="B165" s="281"/>
      <c r="C165" s="208"/>
      <c r="G165" s="298"/>
      <c r="H165" s="183" t="s">
        <v>96</v>
      </c>
      <c r="I165" s="183"/>
      <c r="J165" s="199"/>
      <c r="P165" s="211">
        <f>SUM(P163-P164)</f>
        <v>2728.45</v>
      </c>
    </row>
    <row r="166" spans="2:16" x14ac:dyDescent="0.25">
      <c r="B166" s="281"/>
      <c r="C166" s="208"/>
      <c r="H166" s="212" t="s">
        <v>56</v>
      </c>
      <c r="I166" s="212"/>
      <c r="J166" s="212"/>
      <c r="L166" s="218">
        <f>SUM(L159:L165)</f>
        <v>12505.87</v>
      </c>
      <c r="P166" s="213"/>
    </row>
    <row r="167" spans="2:16" ht="15.75" thickBot="1" x14ac:dyDescent="0.3">
      <c r="B167" s="281"/>
      <c r="C167" s="208"/>
      <c r="E167" s="183"/>
      <c r="P167" s="214">
        <f>SUM(P165+P166)</f>
        <v>2728.45</v>
      </c>
    </row>
    <row r="168" spans="2:16" x14ac:dyDescent="0.25">
      <c r="B168" s="281"/>
      <c r="C168" s="208"/>
      <c r="E168" s="183"/>
      <c r="H168" s="139" t="s">
        <v>208</v>
      </c>
      <c r="L168" s="217">
        <f>H155</f>
        <v>172.84999999999997</v>
      </c>
    </row>
    <row r="169" spans="2:16" x14ac:dyDescent="0.25">
      <c r="B169" s="281"/>
      <c r="C169" s="208"/>
      <c r="E169" s="144"/>
      <c r="H169" s="183"/>
      <c r="I169" s="183"/>
      <c r="L169" s="271">
        <f>SUM(L166:L168)</f>
        <v>12678.720000000001</v>
      </c>
      <c r="P169" s="144">
        <f>SUM(P167)-F163</f>
        <v>-23709.75</v>
      </c>
    </row>
    <row r="170" spans="2:16" x14ac:dyDescent="0.25">
      <c r="B170" s="281"/>
      <c r="C170" s="208"/>
    </row>
    <row r="171" spans="2:16" x14ac:dyDescent="0.25">
      <c r="B171" s="281"/>
      <c r="C171" s="208"/>
      <c r="J171" s="308" t="s">
        <v>95</v>
      </c>
      <c r="K171" s="308"/>
    </row>
    <row r="172" spans="2:16" x14ac:dyDescent="0.25">
      <c r="B172" s="281"/>
      <c r="C172" s="208"/>
    </row>
    <row r="173" spans="2:16" x14ac:dyDescent="0.25">
      <c r="H173" s="145"/>
      <c r="I173" s="145"/>
    </row>
  </sheetData>
  <autoFilter ref="B5:K157" xr:uid="{00000000-0009-0000-0000-000001000000}">
    <filterColumn colId="8">
      <filters blank="1">
        <filter val="Audit and Legal"/>
        <filter val="Community Fund"/>
        <filter val="Maintenance"/>
        <filter val="Memebership"/>
        <filter val="Projects"/>
        <filter val="Receipts"/>
      </filters>
    </filterColumn>
  </autoFilter>
  <mergeCells count="4">
    <mergeCell ref="B4:E4"/>
    <mergeCell ref="B2:H2"/>
    <mergeCell ref="J171:K171"/>
    <mergeCell ref="G4:I4"/>
  </mergeCells>
  <phoneticPr fontId="6" type="noConversion"/>
  <conditionalFormatting sqref="P169">
    <cfRule type="cellIs" dxfId="7" priority="8" stopIfTrue="1" operator="notEqual">
      <formula>0</formula>
    </cfRule>
  </conditionalFormatting>
  <conditionalFormatting sqref="J6:K53 J117:K118 J120:K130 J132:K154 J55:K114 K54">
    <cfRule type="expression" dxfId="6" priority="1">
      <formula>$J6="Memberships"</formula>
    </cfRule>
    <cfRule type="expression" dxfId="5" priority="2">
      <formula>$J6="Audit and legal"</formula>
    </cfRule>
    <cfRule type="expression" dxfId="4" priority="4">
      <formula>$J6="Running costs"</formula>
    </cfRule>
    <cfRule type="expression" dxfId="3" priority="5">
      <formula>$J6="Maintenance"</formula>
    </cfRule>
    <cfRule type="expression" dxfId="2" priority="6">
      <formula>$J6="Projects"</formula>
    </cfRule>
    <cfRule type="expression" dxfId="1" priority="7">
      <formula>$J6="Community fund"</formula>
    </cfRule>
  </conditionalFormatting>
  <dataValidations count="2">
    <dataValidation type="list" allowBlank="1" showInputMessage="1" showErrorMessage="1" sqref="J132:J154 J117:J118 J120:J130 J6:J53 J55:J114" xr:uid="{00000000-0002-0000-0100-000000000000}">
      <formula1>Budget_Lines</formula1>
    </dataValidation>
    <dataValidation type="list" allowBlank="1" showInputMessage="1" showErrorMessage="1" sqref="K6:K114 K117:K118 K120:K130 K132:K154" xr:uid="{00000000-0002-0000-0100-000001000000}">
      <formula1>Sub_categories</formula1>
    </dataValidation>
  </dataValidations>
  <printOptions headings="1"/>
  <pageMargins left="0.04" right="0.04" top="0.16" bottom="0.16" header="0.12000000000000001" footer="0.12000000000000001"/>
  <pageSetup paperSize="9" scale="87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zoomScale="130" zoomScaleNormal="130" workbookViewId="0">
      <selection activeCell="G2" sqref="G2"/>
    </sheetView>
  </sheetViews>
  <sheetFormatPr defaultColWidth="8.85546875" defaultRowHeight="12.75" x14ac:dyDescent="0.2"/>
  <cols>
    <col min="1" max="1" width="21.28515625" customWidth="1"/>
    <col min="2" max="2" width="10" customWidth="1"/>
    <col min="3" max="3" width="11.42578125" customWidth="1"/>
    <col min="4" max="4" width="10" customWidth="1"/>
    <col min="5" max="5" width="0.7109375" customWidth="1"/>
    <col min="6" max="7" width="12.7109375" customWidth="1"/>
    <col min="8" max="8" width="10.42578125" customWidth="1"/>
    <col min="9" max="9" width="10.140625" customWidth="1"/>
    <col min="10" max="10" width="1.42578125" customWidth="1"/>
    <col min="11" max="11" width="10.42578125" customWidth="1"/>
    <col min="12" max="12" width="10.140625" customWidth="1"/>
    <col min="13" max="13" width="12.7109375" customWidth="1"/>
    <col min="14" max="14" width="12.42578125" customWidth="1"/>
    <col min="15" max="15" width="10.42578125" customWidth="1"/>
    <col min="16" max="16" width="10.140625" customWidth="1"/>
    <col min="17" max="17" width="9.42578125" bestFit="1" customWidth="1"/>
  </cols>
  <sheetData>
    <row r="1" spans="1:19" ht="18" x14ac:dyDescent="0.25">
      <c r="A1" s="6" t="s">
        <v>37</v>
      </c>
      <c r="F1" s="12"/>
      <c r="G1" s="7" t="s">
        <v>289</v>
      </c>
      <c r="H1" s="12"/>
    </row>
    <row r="2" spans="1:19" ht="3" customHeight="1" x14ac:dyDescent="0.2"/>
    <row r="3" spans="1:19" x14ac:dyDescent="0.2">
      <c r="A3" s="329" t="s">
        <v>132</v>
      </c>
      <c r="B3" s="330"/>
      <c r="C3" s="331"/>
      <c r="D3" s="5" t="s">
        <v>27</v>
      </c>
      <c r="E3" s="21"/>
      <c r="F3" s="335" t="s">
        <v>33</v>
      </c>
      <c r="G3" s="336"/>
      <c r="H3" s="336"/>
      <c r="I3" s="337"/>
      <c r="J3" s="20"/>
      <c r="K3" s="332" t="s">
        <v>39</v>
      </c>
      <c r="L3" s="333"/>
      <c r="M3" s="333"/>
      <c r="N3" s="334"/>
    </row>
    <row r="4" spans="1:19" ht="12" customHeight="1" x14ac:dyDescent="0.2">
      <c r="A4" s="339" t="s">
        <v>278</v>
      </c>
      <c r="B4" s="340"/>
      <c r="C4" s="340"/>
      <c r="D4" s="256">
        <v>543</v>
      </c>
      <c r="E4" s="22"/>
      <c r="F4" s="345" t="s">
        <v>175</v>
      </c>
      <c r="G4" s="346"/>
      <c r="H4" s="347"/>
      <c r="I4" s="259">
        <v>616.42999999999995</v>
      </c>
      <c r="J4" s="23"/>
      <c r="K4" s="24"/>
      <c r="L4" s="24" t="s">
        <v>7</v>
      </c>
      <c r="M4" s="24" t="s">
        <v>6</v>
      </c>
      <c r="N4" s="24" t="s">
        <v>93</v>
      </c>
    </row>
    <row r="5" spans="1:19" ht="12" customHeight="1" x14ac:dyDescent="0.2">
      <c r="A5" s="341" t="s">
        <v>279</v>
      </c>
      <c r="B5" s="342"/>
      <c r="C5" s="342"/>
      <c r="D5" s="257">
        <v>330</v>
      </c>
      <c r="E5" s="25"/>
      <c r="F5" s="314" t="s">
        <v>140</v>
      </c>
      <c r="G5" s="315"/>
      <c r="H5" s="316"/>
      <c r="I5" s="260">
        <v>4603.58</v>
      </c>
      <c r="J5" s="23"/>
      <c r="K5" s="26" t="s">
        <v>8</v>
      </c>
      <c r="L5" s="27">
        <f>Budget!I64</f>
        <v>25451</v>
      </c>
      <c r="M5" s="28">
        <f>Budget!J64</f>
        <v>0</v>
      </c>
      <c r="N5" s="27">
        <f>SUM(M5)-L5</f>
        <v>-25451</v>
      </c>
    </row>
    <row r="6" spans="1:19" ht="12" customHeight="1" x14ac:dyDescent="0.2">
      <c r="A6" s="341" t="s">
        <v>280</v>
      </c>
      <c r="B6" s="342"/>
      <c r="C6" s="342"/>
      <c r="D6" s="258">
        <v>375</v>
      </c>
      <c r="E6" s="25"/>
      <c r="F6" s="314" t="s">
        <v>38</v>
      </c>
      <c r="G6" s="315"/>
      <c r="H6" s="316"/>
      <c r="I6" s="267">
        <v>0</v>
      </c>
      <c r="J6" s="23"/>
      <c r="K6" s="26" t="s">
        <v>45</v>
      </c>
      <c r="L6" s="27">
        <f>Budget!I66</f>
        <v>30</v>
      </c>
      <c r="M6" s="27">
        <f>Budget!J66</f>
        <v>1.28</v>
      </c>
      <c r="N6" s="27">
        <f t="shared" ref="N6:N8" si="0">SUM(M6)-L6</f>
        <v>-28.72</v>
      </c>
    </row>
    <row r="7" spans="1:19" ht="12" customHeight="1" x14ac:dyDescent="0.2">
      <c r="A7" s="341" t="s">
        <v>281</v>
      </c>
      <c r="B7" s="342"/>
      <c r="C7" s="342"/>
      <c r="D7" s="258">
        <v>89</v>
      </c>
      <c r="E7" s="29"/>
      <c r="F7" s="314" t="s">
        <v>94</v>
      </c>
      <c r="G7" s="315"/>
      <c r="H7" s="316"/>
      <c r="I7" s="261">
        <f>SUM(I4:I6)</f>
        <v>5220.01</v>
      </c>
      <c r="J7" s="23"/>
      <c r="K7" s="26" t="s">
        <v>181</v>
      </c>
      <c r="L7" s="27">
        <v>4446.7</v>
      </c>
      <c r="M7" s="27">
        <f>Budget!J67</f>
        <v>0</v>
      </c>
      <c r="N7" s="27">
        <f t="shared" si="0"/>
        <v>-4446.7</v>
      </c>
    </row>
    <row r="8" spans="1:19" ht="12" customHeight="1" x14ac:dyDescent="0.2">
      <c r="A8" s="341" t="s">
        <v>282</v>
      </c>
      <c r="B8" s="342"/>
      <c r="C8" s="342"/>
      <c r="D8" s="257">
        <v>302.93</v>
      </c>
      <c r="E8" s="29"/>
      <c r="F8" s="314" t="s">
        <v>55</v>
      </c>
      <c r="G8" s="315"/>
      <c r="H8" s="316"/>
      <c r="I8" s="262">
        <v>2491.56</v>
      </c>
      <c r="J8" s="31"/>
      <c r="K8" s="26" t="s">
        <v>233</v>
      </c>
      <c r="L8" s="26">
        <v>0</v>
      </c>
      <c r="M8" s="27">
        <f>-D28</f>
        <v>0</v>
      </c>
      <c r="N8" s="27">
        <f t="shared" si="0"/>
        <v>0</v>
      </c>
      <c r="S8" s="11"/>
    </row>
    <row r="9" spans="1:19" ht="12" customHeight="1" x14ac:dyDescent="0.2">
      <c r="A9" s="341" t="s">
        <v>283</v>
      </c>
      <c r="B9" s="342"/>
      <c r="C9" s="342"/>
      <c r="D9" s="257">
        <v>435.56</v>
      </c>
      <c r="E9" s="29"/>
      <c r="F9" s="314"/>
      <c r="G9" s="315"/>
      <c r="H9" s="316"/>
      <c r="I9" s="261">
        <f>SUM(I7-I8)</f>
        <v>2728.4500000000003</v>
      </c>
      <c r="J9" s="32"/>
      <c r="K9" s="24" t="s">
        <v>0</v>
      </c>
      <c r="L9" s="33">
        <f>SUM(L5:L8)</f>
        <v>29927.7</v>
      </c>
      <c r="M9" s="33">
        <f>SUM(M5:M8)</f>
        <v>1.28</v>
      </c>
      <c r="N9" s="33">
        <f>SUM(N5:N8)</f>
        <v>-29926.420000000002</v>
      </c>
    </row>
    <row r="10" spans="1:19" ht="12" customHeight="1" x14ac:dyDescent="0.2">
      <c r="A10" s="341" t="s">
        <v>284</v>
      </c>
      <c r="B10" s="342"/>
      <c r="C10" s="342"/>
      <c r="D10" s="257">
        <v>80</v>
      </c>
      <c r="E10" s="29"/>
      <c r="F10" s="314" t="s">
        <v>34</v>
      </c>
      <c r="G10" s="315"/>
      <c r="H10" s="316"/>
      <c r="I10" s="263">
        <f>Cashbook!F160</f>
        <v>33309.15</v>
      </c>
      <c r="J10" s="32"/>
      <c r="K10" s="32"/>
      <c r="L10" s="30"/>
      <c r="M10" s="30"/>
      <c r="N10" s="30"/>
    </row>
    <row r="11" spans="1:19" ht="12" customHeight="1" x14ac:dyDescent="0.2">
      <c r="A11" s="341" t="s">
        <v>285</v>
      </c>
      <c r="B11" s="342"/>
      <c r="C11" s="342"/>
      <c r="D11" s="257">
        <v>43.62</v>
      </c>
      <c r="E11" s="29"/>
      <c r="F11" s="314" t="s">
        <v>171</v>
      </c>
      <c r="G11" s="315"/>
      <c r="H11" s="316"/>
      <c r="I11" s="264">
        <f>SUM(Cashbook!G155,Cashbook!H155)</f>
        <v>7043.8</v>
      </c>
      <c r="J11" s="34"/>
      <c r="K11" s="34"/>
      <c r="L11" s="30"/>
      <c r="M11" s="30"/>
      <c r="N11" s="30"/>
    </row>
    <row r="12" spans="1:19" ht="12" customHeight="1" x14ac:dyDescent="0.2">
      <c r="A12" s="341" t="s">
        <v>286</v>
      </c>
      <c r="B12" s="342"/>
      <c r="C12" s="342"/>
      <c r="D12" s="257">
        <v>359.33</v>
      </c>
      <c r="E12" s="29"/>
      <c r="F12" s="314" t="s">
        <v>35</v>
      </c>
      <c r="G12" s="315"/>
      <c r="H12" s="316"/>
      <c r="I12" s="265"/>
      <c r="J12" s="34"/>
      <c r="K12" s="268" t="s">
        <v>234</v>
      </c>
      <c r="L12" s="269"/>
      <c r="M12" s="30"/>
      <c r="N12" s="30"/>
    </row>
    <row r="13" spans="1:19" ht="12" customHeight="1" x14ac:dyDescent="0.2">
      <c r="A13" s="341" t="s">
        <v>287</v>
      </c>
      <c r="B13" s="342"/>
      <c r="C13" s="342"/>
      <c r="D13" s="257">
        <v>369.18</v>
      </c>
      <c r="E13" s="29"/>
      <c r="F13" s="317" t="s">
        <v>36</v>
      </c>
      <c r="G13" s="318"/>
      <c r="H13" s="319"/>
      <c r="I13" s="266">
        <f>SUM(I9+I10-I11-I12)</f>
        <v>28993.8</v>
      </c>
      <c r="J13" s="34"/>
      <c r="K13" s="34"/>
      <c r="L13" s="30"/>
      <c r="M13" s="30"/>
      <c r="N13" s="30"/>
    </row>
    <row r="14" spans="1:19" x14ac:dyDescent="0.2">
      <c r="A14" s="343" t="s">
        <v>288</v>
      </c>
      <c r="B14" s="344"/>
      <c r="C14" s="344"/>
      <c r="D14" s="348">
        <v>140</v>
      </c>
      <c r="E14" s="29"/>
      <c r="F14" s="34"/>
      <c r="G14" s="34"/>
      <c r="H14" s="34"/>
      <c r="I14" s="34"/>
      <c r="J14" s="34"/>
      <c r="K14" s="34"/>
      <c r="L14" s="30"/>
      <c r="M14" s="30"/>
      <c r="N14" s="30"/>
    </row>
    <row r="15" spans="1:19" ht="12.75" customHeight="1" x14ac:dyDescent="0.2">
      <c r="A15" s="35"/>
      <c r="B15" s="36"/>
      <c r="C15" s="36"/>
      <c r="D15" s="215">
        <f>SUM(D4:D14)</f>
        <v>3067.62</v>
      </c>
      <c r="E15" s="37"/>
      <c r="F15" s="34"/>
      <c r="G15" s="34"/>
      <c r="H15" s="34"/>
      <c r="I15" s="34"/>
      <c r="J15" s="34"/>
      <c r="K15" s="34"/>
      <c r="L15" s="30"/>
      <c r="M15" s="30"/>
      <c r="N15" s="30"/>
    </row>
    <row r="16" spans="1:19" ht="4.5" customHeight="1" x14ac:dyDescent="0.2">
      <c r="A16" s="38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0"/>
      <c r="M16" s="30"/>
      <c r="N16" s="30"/>
    </row>
    <row r="17" spans="1:17" x14ac:dyDescent="0.2">
      <c r="A17" s="338" t="s">
        <v>30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</row>
    <row r="18" spans="1:17" x14ac:dyDescent="0.2">
      <c r="A18" s="39" t="s">
        <v>29</v>
      </c>
      <c r="B18" s="40" t="s">
        <v>9</v>
      </c>
      <c r="C18" s="40" t="s">
        <v>31</v>
      </c>
      <c r="D18" s="40" t="s">
        <v>233</v>
      </c>
      <c r="F18" s="40" t="s">
        <v>232</v>
      </c>
      <c r="G18" s="40" t="s">
        <v>92</v>
      </c>
      <c r="H18" s="311" t="s">
        <v>32</v>
      </c>
      <c r="I18" s="312"/>
      <c r="J18" s="312"/>
      <c r="K18" s="312"/>
      <c r="L18" s="312"/>
      <c r="M18" s="312"/>
      <c r="N18" s="313"/>
    </row>
    <row r="19" spans="1:17" x14ac:dyDescent="0.2">
      <c r="A19" s="27" t="s">
        <v>90</v>
      </c>
      <c r="B19" s="216">
        <f>Budget!I11</f>
        <v>3500</v>
      </c>
      <c r="C19" s="41">
        <f>SUM(Budget!J4:J9)</f>
        <v>3369.58</v>
      </c>
      <c r="D19" s="41">
        <f>Budget!J10</f>
        <v>0</v>
      </c>
      <c r="F19" s="41">
        <f>Budget!J11</f>
        <v>3369.58</v>
      </c>
      <c r="G19" s="41">
        <f>SUM(B19)-SUM(F19)</f>
        <v>130.42000000000007</v>
      </c>
      <c r="H19" s="311"/>
      <c r="I19" s="312"/>
      <c r="J19" s="312"/>
      <c r="K19" s="312"/>
      <c r="L19" s="312"/>
      <c r="M19" s="312"/>
      <c r="N19" s="313"/>
    </row>
    <row r="20" spans="1:17" x14ac:dyDescent="0.2">
      <c r="A20" s="27" t="s">
        <v>12</v>
      </c>
      <c r="B20" s="42">
        <f>Budget!I25</f>
        <v>11410</v>
      </c>
      <c r="C20" s="41">
        <f>SUM(Budget!J12:J23)</f>
        <v>1109.99</v>
      </c>
      <c r="D20" s="41">
        <f>Budget!J24</f>
        <v>0</v>
      </c>
      <c r="F20" s="41">
        <f>Budget!J25</f>
        <v>1109.99</v>
      </c>
      <c r="G20" s="41">
        <f t="shared" ref="G20:G25" si="1">SUM(B20)-SUM(F20)</f>
        <v>10300.01</v>
      </c>
      <c r="H20" s="311"/>
      <c r="I20" s="312"/>
      <c r="J20" s="312"/>
      <c r="K20" s="312"/>
      <c r="L20" s="312"/>
      <c r="M20" s="312"/>
      <c r="N20" s="313"/>
    </row>
    <row r="21" spans="1:17" x14ac:dyDescent="0.2">
      <c r="A21" s="27" t="s">
        <v>13</v>
      </c>
      <c r="B21" s="42">
        <f>Budget!I30</f>
        <v>4600</v>
      </c>
      <c r="C21" s="41">
        <f>SUM(Budget!J26:J29)</f>
        <v>800</v>
      </c>
      <c r="D21" s="41">
        <v>0</v>
      </c>
      <c r="F21" s="41">
        <f>Budget!J30</f>
        <v>800</v>
      </c>
      <c r="G21" s="41">
        <f t="shared" si="1"/>
        <v>3800</v>
      </c>
      <c r="H21" s="311"/>
      <c r="I21" s="312"/>
      <c r="J21" s="312"/>
      <c r="K21" s="312"/>
      <c r="L21" s="312"/>
      <c r="M21" s="312"/>
      <c r="N21" s="313"/>
    </row>
    <row r="22" spans="1:17" x14ac:dyDescent="0.2">
      <c r="A22" s="27" t="s">
        <v>15</v>
      </c>
      <c r="B22" s="42">
        <f>Budget!I45</f>
        <v>7075</v>
      </c>
      <c r="C22" s="41">
        <f>SUM(Budget!J32:J43)</f>
        <v>1391.3799999999999</v>
      </c>
      <c r="D22" s="41">
        <f>Budget!J44</f>
        <v>0</v>
      </c>
      <c r="F22" s="41">
        <f>Budget!J45</f>
        <v>1391.3799999999999</v>
      </c>
      <c r="G22" s="41">
        <f t="shared" si="1"/>
        <v>5683.62</v>
      </c>
      <c r="H22" s="311"/>
      <c r="I22" s="312"/>
      <c r="J22" s="312"/>
      <c r="K22" s="312"/>
      <c r="L22" s="312"/>
      <c r="M22" s="312"/>
      <c r="N22" s="313"/>
    </row>
    <row r="23" spans="1:17" x14ac:dyDescent="0.2">
      <c r="A23" s="27" t="s">
        <v>10</v>
      </c>
      <c r="B23" s="42">
        <f>Budget!I54</f>
        <v>550</v>
      </c>
      <c r="C23" s="41">
        <f>SUM(Budget!J46:J53)</f>
        <v>0</v>
      </c>
      <c r="D23" s="41">
        <v>0</v>
      </c>
      <c r="F23" s="41">
        <f>Budget!J54</f>
        <v>0</v>
      </c>
      <c r="G23" s="41">
        <f t="shared" si="1"/>
        <v>550</v>
      </c>
      <c r="H23" s="311"/>
      <c r="I23" s="312"/>
      <c r="J23" s="312"/>
      <c r="K23" s="312"/>
      <c r="L23" s="312"/>
      <c r="M23" s="312"/>
      <c r="N23" s="313"/>
    </row>
    <row r="24" spans="1:17" x14ac:dyDescent="0.2">
      <c r="A24" s="27" t="s">
        <v>91</v>
      </c>
      <c r="B24" s="42">
        <f>Budget!I58</f>
        <v>650</v>
      </c>
      <c r="C24" s="41">
        <f>SUM(Budget!J55:J57)</f>
        <v>200</v>
      </c>
      <c r="D24" s="41">
        <v>0</v>
      </c>
      <c r="F24" s="41">
        <f>Budget!J58</f>
        <v>200</v>
      </c>
      <c r="G24" s="41">
        <f t="shared" si="1"/>
        <v>450</v>
      </c>
      <c r="H24" s="311"/>
      <c r="I24" s="312"/>
      <c r="J24" s="312"/>
      <c r="K24" s="312"/>
      <c r="L24" s="312"/>
      <c r="M24" s="312"/>
      <c r="N24" s="313"/>
    </row>
    <row r="25" spans="1:17" x14ac:dyDescent="0.2">
      <c r="A25" s="27" t="s">
        <v>170</v>
      </c>
      <c r="B25" s="42">
        <f>Cashbook!H155</f>
        <v>172.84999999999997</v>
      </c>
      <c r="C25" s="41">
        <f>Cashbook!H155</f>
        <v>172.84999999999997</v>
      </c>
      <c r="D25" s="41">
        <v>0</v>
      </c>
      <c r="F25" s="41">
        <f>Cashbook!H155</f>
        <v>172.84999999999997</v>
      </c>
      <c r="G25" s="41">
        <f t="shared" si="1"/>
        <v>0</v>
      </c>
      <c r="H25" s="311"/>
      <c r="I25" s="312"/>
      <c r="J25" s="312"/>
      <c r="K25" s="312"/>
      <c r="L25" s="312"/>
      <c r="M25" s="312"/>
      <c r="N25" s="313"/>
    </row>
    <row r="26" spans="1:17" x14ac:dyDescent="0.2">
      <c r="A26" s="27" t="s">
        <v>158</v>
      </c>
      <c r="B26" s="42"/>
      <c r="C26" s="41"/>
      <c r="D26" s="41"/>
      <c r="F26" s="41"/>
      <c r="G26" s="41"/>
      <c r="H26" s="311"/>
      <c r="I26" s="312"/>
      <c r="J26" s="312"/>
      <c r="K26" s="312"/>
      <c r="L26" s="312"/>
      <c r="M26" s="312"/>
      <c r="N26" s="313"/>
      <c r="Q26" s="4"/>
    </row>
    <row r="27" spans="1:17" ht="4.5" customHeight="1" x14ac:dyDescent="0.2">
      <c r="A27" s="27"/>
      <c r="B27" s="42"/>
      <c r="C27" s="41"/>
      <c r="D27" s="41"/>
      <c r="F27" s="41"/>
      <c r="G27" s="41"/>
      <c r="H27" s="311"/>
      <c r="I27" s="312"/>
      <c r="J27" s="312"/>
      <c r="K27" s="312"/>
      <c r="L27" s="312"/>
      <c r="M27" s="312"/>
      <c r="N27" s="313"/>
    </row>
    <row r="28" spans="1:17" x14ac:dyDescent="0.2">
      <c r="A28" s="24" t="s">
        <v>0</v>
      </c>
      <c r="B28" s="42">
        <f>SUM(B19:B27)</f>
        <v>27957.85</v>
      </c>
      <c r="C28" s="42">
        <f>SUM(C19:C27)</f>
        <v>7043.8</v>
      </c>
      <c r="D28" s="42">
        <f>SUM(D19:D27)</f>
        <v>0</v>
      </c>
      <c r="F28" s="42">
        <f>SUM(F19:F27)</f>
        <v>7043.8</v>
      </c>
      <c r="G28" s="42">
        <f>SUM(G19:G27)</f>
        <v>20914.05</v>
      </c>
      <c r="H28" s="311"/>
      <c r="I28" s="312"/>
      <c r="J28" s="312"/>
      <c r="K28" s="312"/>
      <c r="L28" s="312"/>
      <c r="M28" s="312"/>
      <c r="N28" s="313"/>
    </row>
    <row r="29" spans="1:17" ht="7.5" customHeight="1" x14ac:dyDescent="0.2"/>
    <row r="30" spans="1:17" x14ac:dyDescent="0.2">
      <c r="A30" s="320" t="s">
        <v>133</v>
      </c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2"/>
    </row>
    <row r="31" spans="1:17" x14ac:dyDescent="0.2">
      <c r="A31" s="323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5"/>
    </row>
    <row r="32" spans="1:17" x14ac:dyDescent="0.2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5"/>
    </row>
    <row r="33" spans="1:14" x14ac:dyDescent="0.2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</row>
    <row r="34" spans="1:14" x14ac:dyDescent="0.2">
      <c r="A34" s="323"/>
      <c r="B34" s="324"/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5"/>
    </row>
    <row r="35" spans="1:14" x14ac:dyDescent="0.2">
      <c r="A35" s="323"/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5"/>
    </row>
    <row r="36" spans="1:14" x14ac:dyDescent="0.2">
      <c r="A36" s="323"/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5"/>
    </row>
    <row r="37" spans="1:14" x14ac:dyDescent="0.2">
      <c r="A37" s="323"/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5"/>
    </row>
    <row r="38" spans="1:14" x14ac:dyDescent="0.2">
      <c r="A38" s="323"/>
      <c r="B38" s="324"/>
      <c r="C38" s="324"/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5"/>
    </row>
    <row r="39" spans="1:14" x14ac:dyDescent="0.2">
      <c r="A39" s="323"/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5"/>
    </row>
    <row r="40" spans="1:14" x14ac:dyDescent="0.2">
      <c r="A40" s="326"/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8"/>
    </row>
    <row r="44" spans="1:14" ht="12" customHeight="1" x14ac:dyDescent="0.2"/>
  </sheetData>
  <mergeCells count="37">
    <mergeCell ref="A3:C3"/>
    <mergeCell ref="K3:N3"/>
    <mergeCell ref="F3:I3"/>
    <mergeCell ref="A17:N17"/>
    <mergeCell ref="A4:C4"/>
    <mergeCell ref="A5:C5"/>
    <mergeCell ref="A8:C8"/>
    <mergeCell ref="A9:C9"/>
    <mergeCell ref="A11:C11"/>
    <mergeCell ref="A12:C12"/>
    <mergeCell ref="A13:C13"/>
    <mergeCell ref="A6:C6"/>
    <mergeCell ref="A7:C7"/>
    <mergeCell ref="A10:C10"/>
    <mergeCell ref="A14:C14"/>
    <mergeCell ref="F4:H4"/>
    <mergeCell ref="A30:N40"/>
    <mergeCell ref="H21:N21"/>
    <mergeCell ref="H22:N22"/>
    <mergeCell ref="H23:N23"/>
    <mergeCell ref="H24:N24"/>
    <mergeCell ref="H25:N25"/>
    <mergeCell ref="H26:N26"/>
    <mergeCell ref="H27:N27"/>
    <mergeCell ref="H28:N28"/>
    <mergeCell ref="F5:H5"/>
    <mergeCell ref="F6:H6"/>
    <mergeCell ref="F7:H7"/>
    <mergeCell ref="F8:H8"/>
    <mergeCell ref="F9:H9"/>
    <mergeCell ref="H19:N19"/>
    <mergeCell ref="H20:N20"/>
    <mergeCell ref="F10:H10"/>
    <mergeCell ref="F11:H11"/>
    <mergeCell ref="F12:H12"/>
    <mergeCell ref="F13:H13"/>
    <mergeCell ref="H18:N18"/>
  </mergeCells>
  <phoneticPr fontId="6" type="noConversion"/>
  <conditionalFormatting sqref="G19:G26">
    <cfRule type="cellIs" dxfId="0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</vt:lpstr>
      <vt:lpstr>PC Assets</vt:lpstr>
      <vt:lpstr>Cashbook</vt:lpstr>
      <vt:lpstr>Report</vt:lpstr>
      <vt:lpstr>Budget_Lines</vt:lpstr>
      <vt:lpstr>Budget!Print_Area</vt:lpstr>
      <vt:lpstr>Cashbook!Print_Area</vt:lpstr>
      <vt:lpstr>Report!Print_Area</vt:lpstr>
      <vt:lpstr>Cashbook!Print_Titles</vt:lpstr>
      <vt:lpstr>Sub_categories</vt:lpstr>
    </vt:vector>
  </TitlesOfParts>
  <Company>Slater4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Shani</cp:lastModifiedBy>
  <cp:lastPrinted>2019-05-07T13:17:08Z</cp:lastPrinted>
  <dcterms:created xsi:type="dcterms:W3CDTF">2010-10-31T11:29:21Z</dcterms:created>
  <dcterms:modified xsi:type="dcterms:W3CDTF">2019-06-06T15:50:12Z</dcterms:modified>
</cp:coreProperties>
</file>