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970"/>
  </bookViews>
  <sheets>
    <sheet name="Report" sheetId="5" r:id="rId1"/>
    <sheet name="Cashbook" sheetId="8" r:id="rId2"/>
    <sheet name="Budget" sheetId="12" r:id="rId3"/>
    <sheet name="PC Assets" sheetId="9" r:id="rId4"/>
  </sheets>
  <definedNames>
    <definedName name="_xlnm._FilterDatabase" localSheetId="1" hidden="1">Cashbook!$B$5:$J$156</definedName>
    <definedName name="Budget_Lines">Cashbook!$O$7:$O$14</definedName>
    <definedName name="_xlnm.Print_Area" localSheetId="2">Budget!$C$1:$L$73</definedName>
    <definedName name="_xlnm.Print_Area" localSheetId="1">Cashbook!$B$1:$H$166</definedName>
    <definedName name="_xlnm.Print_Area" localSheetId="0">Report!$A$1:$N$40</definedName>
    <definedName name="_xlnm.Print_Titles" localSheetId="1">Cashbook!$5:$5</definedName>
    <definedName name="Sub_categories">Cashbook!$O$17:$O$31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5" l="1"/>
  <c r="B20" i="5"/>
  <c r="B19" i="5"/>
  <c r="B24" i="5"/>
  <c r="B23" i="5"/>
  <c r="B22" i="5"/>
  <c r="K165" i="8" l="1"/>
  <c r="J69" i="12" l="1"/>
  <c r="J62" i="12"/>
  <c r="J61" i="12"/>
  <c r="M5" i="5" s="1"/>
  <c r="J65" i="12"/>
  <c r="M7" i="5" s="1"/>
  <c r="J50" i="12"/>
  <c r="J49" i="12"/>
  <c r="J41" i="12"/>
  <c r="J40" i="12"/>
  <c r="J9" i="12"/>
  <c r="H154" i="8"/>
  <c r="K167" i="8" s="1"/>
  <c r="J64" i="12" l="1"/>
  <c r="J63" i="12"/>
  <c r="M6" i="5" s="1"/>
  <c r="J6" i="12"/>
  <c r="J7" i="12"/>
  <c r="J21" i="12"/>
  <c r="J22" i="12" l="1"/>
  <c r="J8" i="12" l="1"/>
  <c r="K28" i="12" l="1"/>
  <c r="E71" i="12"/>
  <c r="F71" i="12"/>
  <c r="G71" i="12"/>
  <c r="H66" i="12"/>
  <c r="E66" i="12"/>
  <c r="F66" i="12"/>
  <c r="G66" i="12"/>
  <c r="G72" i="12" s="1"/>
  <c r="K66" i="12"/>
  <c r="F72" i="12" l="1"/>
  <c r="E72" i="12"/>
  <c r="J48" i="12"/>
  <c r="D23" i="12"/>
  <c r="E23" i="12"/>
  <c r="F23" i="12"/>
  <c r="G23" i="12"/>
  <c r="H23" i="12"/>
  <c r="K23" i="12"/>
  <c r="D55" i="12"/>
  <c r="E55" i="12"/>
  <c r="F55" i="12"/>
  <c r="G55" i="12"/>
  <c r="H55" i="12"/>
  <c r="K55" i="12"/>
  <c r="J71" i="12" l="1"/>
  <c r="K71" i="12"/>
  <c r="K72" i="12" l="1"/>
  <c r="J54" i="12"/>
  <c r="J53" i="12"/>
  <c r="J47" i="12"/>
  <c r="J46" i="12"/>
  <c r="J45" i="12"/>
  <c r="J44" i="12"/>
  <c r="J39" i="12"/>
  <c r="J38" i="12"/>
  <c r="J37" i="12"/>
  <c r="J36" i="12"/>
  <c r="J35" i="12"/>
  <c r="J34" i="12"/>
  <c r="J33" i="12"/>
  <c r="J32" i="12"/>
  <c r="J31" i="12"/>
  <c r="J30" i="12"/>
  <c r="J27" i="12"/>
  <c r="J26" i="12"/>
  <c r="J25" i="12"/>
  <c r="J20" i="12"/>
  <c r="J19" i="12"/>
  <c r="J18" i="12"/>
  <c r="J17" i="12"/>
  <c r="J16" i="12"/>
  <c r="J15" i="12"/>
  <c r="J14" i="12"/>
  <c r="J13" i="12"/>
  <c r="J12" i="12"/>
  <c r="J5" i="12"/>
  <c r="J4" i="12"/>
  <c r="J55" i="12" l="1"/>
  <c r="D24" i="5" s="1"/>
  <c r="J66" i="12"/>
  <c r="J72" i="12" s="1"/>
  <c r="J28" i="12"/>
  <c r="D21" i="5" s="1"/>
  <c r="J23" i="12"/>
  <c r="D20" i="5" s="1"/>
  <c r="H71" i="12"/>
  <c r="K51" i="12"/>
  <c r="J51" i="12"/>
  <c r="D23" i="5" s="1"/>
  <c r="H51" i="12"/>
  <c r="G51" i="12"/>
  <c r="F51" i="12"/>
  <c r="E51" i="12"/>
  <c r="D51" i="12"/>
  <c r="K42" i="12"/>
  <c r="J42" i="12"/>
  <c r="D22" i="5" s="1"/>
  <c r="H42" i="12"/>
  <c r="G42" i="12"/>
  <c r="F42" i="12"/>
  <c r="E42" i="12"/>
  <c r="D42" i="12"/>
  <c r="H28" i="12"/>
  <c r="G28" i="12"/>
  <c r="F28" i="12"/>
  <c r="E28" i="12"/>
  <c r="D28" i="12"/>
  <c r="K10" i="12"/>
  <c r="J10" i="12"/>
  <c r="D19" i="5" s="1"/>
  <c r="H10" i="12"/>
  <c r="G10" i="12"/>
  <c r="F10" i="12"/>
  <c r="E10" i="12"/>
  <c r="D10" i="12"/>
  <c r="H72" i="12" l="1"/>
  <c r="D57" i="12"/>
  <c r="E57" i="12"/>
  <c r="E73" i="12" s="1"/>
  <c r="E74" i="12" s="1"/>
  <c r="H57" i="12"/>
  <c r="F57" i="12"/>
  <c r="F73" i="12" s="1"/>
  <c r="F74" i="12" s="1"/>
  <c r="K57" i="12"/>
  <c r="K73" i="12" s="1"/>
  <c r="K74" i="12" s="1"/>
  <c r="G57" i="12"/>
  <c r="G73" i="12" s="1"/>
  <c r="G74" i="12" s="1"/>
  <c r="F154" i="8"/>
  <c r="G154" i="8"/>
  <c r="D25" i="5" l="1"/>
  <c r="B25" i="5" s="1"/>
  <c r="F25" i="5" s="1"/>
  <c r="J56" i="12"/>
  <c r="J57" i="12" s="1"/>
  <c r="J73" i="12" s="1"/>
  <c r="J74" i="12" s="1"/>
  <c r="I11" i="5"/>
  <c r="H73" i="12"/>
  <c r="H74" i="12" s="1"/>
  <c r="F19" i="5" l="1"/>
  <c r="F20" i="5"/>
  <c r="F21" i="5"/>
  <c r="F23" i="5"/>
  <c r="F24" i="5"/>
  <c r="D15" i="5"/>
  <c r="F161" i="8"/>
  <c r="E32" i="9"/>
  <c r="D32" i="9"/>
  <c r="C32" i="9"/>
  <c r="B32" i="9"/>
  <c r="O162" i="8"/>
  <c r="O164" i="8" s="1"/>
  <c r="O166" i="8" s="1"/>
  <c r="I7" i="5"/>
  <c r="I9" i="5" s="1"/>
  <c r="F159" i="8"/>
  <c r="B28" i="5"/>
  <c r="L9" i="5"/>
  <c r="C28" i="5"/>
  <c r="F22" i="5" l="1"/>
  <c r="N6" i="5"/>
  <c r="I10" i="5"/>
  <c r="I13" i="5" s="1"/>
  <c r="F28" i="5" l="1"/>
  <c r="D28" i="5"/>
  <c r="F162" i="8"/>
  <c r="F164" i="8" s="1"/>
  <c r="O168" i="8" s="1"/>
  <c r="N7" i="5" l="1"/>
  <c r="N5" i="5" l="1"/>
  <c r="N9" i="5" s="1"/>
  <c r="M9" i="5" l="1"/>
</calcChain>
</file>

<file path=xl/sharedStrings.xml><?xml version="1.0" encoding="utf-8"?>
<sst xmlns="http://schemas.openxmlformats.org/spreadsheetml/2006/main" count="561" uniqueCount="323">
  <si>
    <t>Totals</t>
  </si>
  <si>
    <t>Asset Record</t>
  </si>
  <si>
    <t>Insurance</t>
  </si>
  <si>
    <t>Avening Parish Council</t>
  </si>
  <si>
    <t>Payments</t>
  </si>
  <si>
    <t>Receipts</t>
  </si>
  <si>
    <t>Actual</t>
  </si>
  <si>
    <t>Budgeted</t>
  </si>
  <si>
    <t>Precept</t>
  </si>
  <si>
    <t>Budget</t>
  </si>
  <si>
    <t>Memberships</t>
  </si>
  <si>
    <t>Payroll</t>
  </si>
  <si>
    <t>Projects</t>
  </si>
  <si>
    <t>Maintenance</t>
  </si>
  <si>
    <t>Other Contractors</t>
  </si>
  <si>
    <t>Council Running Costs</t>
  </si>
  <si>
    <t xml:space="preserve">Expenses/allowances </t>
  </si>
  <si>
    <t>GAPTC</t>
  </si>
  <si>
    <t>SLCC</t>
  </si>
  <si>
    <t>GRCC</t>
  </si>
  <si>
    <t>Glos Wildlife Trust</t>
  </si>
  <si>
    <t>Information Commissioner</t>
  </si>
  <si>
    <t>Training</t>
  </si>
  <si>
    <t>Meeting Room Hire</t>
  </si>
  <si>
    <t>Website</t>
  </si>
  <si>
    <t>Audit</t>
  </si>
  <si>
    <t>Reserves</t>
  </si>
  <si>
    <t>Amount</t>
  </si>
  <si>
    <t>Details</t>
  </si>
  <si>
    <t>Budget Heads</t>
  </si>
  <si>
    <t>Spend breakdown</t>
  </si>
  <si>
    <t>Spend YTD</t>
  </si>
  <si>
    <t>Committed</t>
  </si>
  <si>
    <t>Comment</t>
  </si>
  <si>
    <t>Bank Reconciliation</t>
  </si>
  <si>
    <t>Total receipts</t>
  </si>
  <si>
    <t>Cheques issued not presented</t>
  </si>
  <si>
    <t>Closing balance</t>
  </si>
  <si>
    <t>Avening Parish Council Monthly Report</t>
  </si>
  <si>
    <t>30 day a/c</t>
  </si>
  <si>
    <t>Annual Receipts Summary</t>
  </si>
  <si>
    <t>Payment</t>
  </si>
  <si>
    <t xml:space="preserve">Date </t>
  </si>
  <si>
    <t>Description</t>
  </si>
  <si>
    <t>Method</t>
  </si>
  <si>
    <t>Receipt</t>
  </si>
  <si>
    <t>Interest</t>
  </si>
  <si>
    <t>Other</t>
  </si>
  <si>
    <t>VAT</t>
  </si>
  <si>
    <t>Bal b/fwd</t>
  </si>
  <si>
    <t>Sub totals</t>
  </si>
  <si>
    <t>Business 30 Day Notice</t>
  </si>
  <si>
    <t>Bal c/fwd</t>
  </si>
  <si>
    <t>Treasurer Account</t>
  </si>
  <si>
    <t>High Interest Deposit Account</t>
  </si>
  <si>
    <t>Plus Receipts</t>
  </si>
  <si>
    <t>Less Payments</t>
  </si>
  <si>
    <t>Less Unpresented Cheques</t>
  </si>
  <si>
    <t>Closing Balance</t>
  </si>
  <si>
    <t>Unique Ref No</t>
  </si>
  <si>
    <t>Payment Method</t>
  </si>
  <si>
    <t>Valuation as at 31st March 2013</t>
  </si>
  <si>
    <t>Woodstock Triangle</t>
  </si>
  <si>
    <t>Point Road / High Street Triangle</t>
  </si>
  <si>
    <t>Rectory Lane Playing Fields</t>
  </si>
  <si>
    <t>Ash Path (Between High Street and Rectory Lane</t>
  </si>
  <si>
    <t>Custodian Trustee of Village Hall</t>
  </si>
  <si>
    <t>Play Field surfaces</t>
  </si>
  <si>
    <t>5 x Dog Bins (Pound Hill, Playing Field, Sunground. West End, Mays Lane)</t>
  </si>
  <si>
    <t>6 x Litter Bins (3 at Playing Field, Sunground, Mays Lane Bus Shelter)</t>
  </si>
  <si>
    <t>3 X Grit Bins (Sandford Leaze, School, Post Office)</t>
  </si>
  <si>
    <t>3 x Bus Shelters ( Mays Lane, Hampton Hill, High Street)</t>
  </si>
  <si>
    <t>Fence (at Ash Path)</t>
  </si>
  <si>
    <t>2 x Telephone Kiosks (Point Road and Nags Head</t>
  </si>
  <si>
    <t>1 x Bench Seat (Rectory Lane)</t>
  </si>
  <si>
    <t>4 x Notice Boards (Nags Head, 2 at Vidllage Hall, 1 not used</t>
  </si>
  <si>
    <t>Village Sign (High Street)</t>
  </si>
  <si>
    <t>High Viz Jackets and Litter Pickers</t>
  </si>
  <si>
    <t>Comments</t>
  </si>
  <si>
    <t>Playing Field</t>
  </si>
  <si>
    <t>Grass cutting</t>
  </si>
  <si>
    <t>Deeds Storage</t>
  </si>
  <si>
    <t xml:space="preserve">C/F 1 April </t>
  </si>
  <si>
    <t>VAT Refund</t>
  </si>
  <si>
    <t>Estimated - Dependent upon balance at the end of the year</t>
  </si>
  <si>
    <t>TOTAL RESERVES</t>
  </si>
  <si>
    <t>General Reserves</t>
  </si>
  <si>
    <t>AUDIT &amp; LEGAL</t>
  </si>
  <si>
    <t>MEMBERSHIPS</t>
  </si>
  <si>
    <t>COUNCIL RUNNING COSTS</t>
  </si>
  <si>
    <t>MAINTENANCE</t>
  </si>
  <si>
    <t>PROJECTS</t>
  </si>
  <si>
    <t xml:space="preserve">COMMUNITY FUND            </t>
  </si>
  <si>
    <t>Countryside Conservation</t>
  </si>
  <si>
    <t xml:space="preserve">Avening Parish Council </t>
  </si>
  <si>
    <t>Community Fund</t>
  </si>
  <si>
    <t>Audit &amp; Legal</t>
  </si>
  <si>
    <t>Balance</t>
  </si>
  <si>
    <t>Difference</t>
  </si>
  <si>
    <t>Opening Balance at the Bank</t>
  </si>
  <si>
    <t>CLOSING BALANCES:</t>
  </si>
  <si>
    <t>Plus Unpresented Receipts</t>
  </si>
  <si>
    <t>Less Unpresented Cheques  (Bold)</t>
  </si>
  <si>
    <t>2 x Grit Bins (Church Farm and Ash Path)</t>
  </si>
  <si>
    <t>1 x Grit Bin (West End)</t>
  </si>
  <si>
    <t>Defibrillator</t>
  </si>
  <si>
    <t>Grit / Salt Spreader</t>
  </si>
  <si>
    <t>Grit Salt Shed</t>
  </si>
  <si>
    <t>Valuation as at 31st March 2014</t>
  </si>
  <si>
    <t>Valuation as at 31st March 2015</t>
  </si>
  <si>
    <t>Valuation as at 31st March 2016</t>
  </si>
  <si>
    <t>Budget 2013 - 2014</t>
  </si>
  <si>
    <t xml:space="preserve">Budget 2014 - 2015 </t>
  </si>
  <si>
    <t xml:space="preserve">Budget 2015 - 2016 </t>
  </si>
  <si>
    <t>Village Waterways</t>
  </si>
  <si>
    <t>Volunteer of the Year</t>
  </si>
  <si>
    <t>Defibrilator</t>
  </si>
  <si>
    <t>Avening History Group</t>
  </si>
  <si>
    <t>Project Manager</t>
  </si>
  <si>
    <t xml:space="preserve">Maintenance </t>
  </si>
  <si>
    <t>Water Pumps</t>
  </si>
  <si>
    <t>Refurb covered by donation</t>
  </si>
  <si>
    <t xml:space="preserve"> Legal fees</t>
  </si>
  <si>
    <t>RECEIPTS  (ESTIMATED)</t>
  </si>
  <si>
    <t>2013 - 2014</t>
  </si>
  <si>
    <t>2014 - 15</t>
  </si>
  <si>
    <t>2015 - 2016</t>
  </si>
  <si>
    <t>Parish Award</t>
  </si>
  <si>
    <t>Notice boards</t>
  </si>
  <si>
    <t>Phone boxes</t>
  </si>
  <si>
    <t>Bus shelter</t>
  </si>
  <si>
    <t>General maintainance</t>
  </si>
  <si>
    <t>Printing</t>
  </si>
  <si>
    <t xml:space="preserve">Refreshments for Meetings </t>
  </si>
  <si>
    <t>Chairman</t>
  </si>
  <si>
    <t>Not for Wreath or refreshments. Use enitrely at Chairman's descretion</t>
  </si>
  <si>
    <t>Unutilised but may require when records cupboard is clerared.</t>
  </si>
  <si>
    <t>Other reserves</t>
  </si>
  <si>
    <t>Budget 2016 - 17</t>
  </si>
  <si>
    <t>Payments for approval</t>
  </si>
  <si>
    <t xml:space="preserve">Notes:
</t>
  </si>
  <si>
    <t>Budget 2017-18</t>
  </si>
  <si>
    <t>Minimal works needed</t>
  </si>
  <si>
    <t>2016-17</t>
  </si>
  <si>
    <t>2017-18</t>
  </si>
  <si>
    <t>Playing Field Upgrade</t>
  </si>
  <si>
    <t>3600.00 per year April 2017 - March 2020</t>
  </si>
  <si>
    <t>Hall insurance £837.11 paid Nov 2016 (year 2 of 5 year agreement) Council Insurance £409.39 paid May 2017 year 1 of 3 year agreement</t>
  </si>
  <si>
    <t>Credit less budgeted spend</t>
  </si>
  <si>
    <t>Treasurer Account A/C</t>
  </si>
  <si>
    <t>Budget 2018-19</t>
  </si>
  <si>
    <t>Grants &amp; General</t>
  </si>
  <si>
    <t>Village Hall - general maintenance</t>
  </si>
  <si>
    <t>Village Hall upgrade</t>
  </si>
  <si>
    <t>Annual totals</t>
  </si>
  <si>
    <t>2018-19</t>
  </si>
  <si>
    <t>Sub-category</t>
  </si>
  <si>
    <t>Community fund</t>
  </si>
  <si>
    <t>Running costs</t>
  </si>
  <si>
    <t>Budget lines</t>
  </si>
  <si>
    <t>Sub categories</t>
  </si>
  <si>
    <t>Sub category</t>
  </si>
  <si>
    <t>Audit and Legal</t>
  </si>
  <si>
    <t>Office expenses</t>
  </si>
  <si>
    <t>Other maintenance</t>
  </si>
  <si>
    <t>Includes broadband line for the hall</t>
  </si>
  <si>
    <t>Budget header</t>
  </si>
  <si>
    <t>GPFA</t>
  </si>
  <si>
    <t>Other grants/receipts</t>
  </si>
  <si>
    <t>Reserves*</t>
  </si>
  <si>
    <t>Small Projects</t>
  </si>
  <si>
    <t>Small projects</t>
  </si>
  <si>
    <t>Glos Playing Fields Assn</t>
  </si>
  <si>
    <t>Should include Poppy Wreath and donation; requests from local organisations. Walks leaflets; general village events &amp; Christmas tree</t>
  </si>
  <si>
    <t>Increase to include village events - Community fund?</t>
  </si>
  <si>
    <t>Maintenance of existing unit moved to Maintenance</t>
  </si>
  <si>
    <t>e.g. defib batteries/pads</t>
  </si>
  <si>
    <t>for PC - Youth Club is in community fund</t>
  </si>
  <si>
    <t>Total credits</t>
  </si>
  <si>
    <t>Villager magazine</t>
  </si>
  <si>
    <t>Villager Magazine</t>
  </si>
  <si>
    <t>Church</t>
  </si>
  <si>
    <t>Removed, as not utilised</t>
  </si>
  <si>
    <t>included in payroll</t>
  </si>
  <si>
    <t>budget included in general grants</t>
  </si>
  <si>
    <t xml:space="preserve">Ringfenced to be held in reserve and carried forward at end of year </t>
  </si>
  <si>
    <t xml:space="preserve">Total credit available </t>
  </si>
  <si>
    <t>Precept less reserves</t>
  </si>
  <si>
    <t>Impact on reserves</t>
  </si>
  <si>
    <t>Forecast reserves</t>
  </si>
  <si>
    <t>Forecast at end of financial year</t>
  </si>
  <si>
    <t>increase by 5%</t>
  </si>
  <si>
    <t>VAT paid (to be reclaimed)</t>
  </si>
  <si>
    <t>Total payments (incl. VAT)</t>
  </si>
  <si>
    <t>AVENING PARISH COUNCIL - CASH BOOK 2018/2019</t>
  </si>
  <si>
    <t>Net amount</t>
  </si>
  <si>
    <t>Spend 2018/19</t>
  </si>
  <si>
    <t>Budget 2019-20</t>
  </si>
  <si>
    <t>Playing field Moved to projects for 2018/19</t>
  </si>
  <si>
    <t>Business a/c</t>
  </si>
  <si>
    <t>P01</t>
  </si>
  <si>
    <t>Plusnet</t>
  </si>
  <si>
    <t>DD</t>
  </si>
  <si>
    <t>Running Costs</t>
  </si>
  <si>
    <t>Avendale Garden Maintenance</t>
  </si>
  <si>
    <t>R1</t>
  </si>
  <si>
    <t>BACS</t>
  </si>
  <si>
    <t>Other (VAT)</t>
  </si>
  <si>
    <t>Clerks Salary &amp; Expenses</t>
  </si>
  <si>
    <t>John Collinson</t>
  </si>
  <si>
    <t>P2</t>
  </si>
  <si>
    <t>J-Bookeepers (Internal Audit)</t>
  </si>
  <si>
    <t>P3</t>
  </si>
  <si>
    <t>S. Woodman</t>
  </si>
  <si>
    <t>P4</t>
  </si>
  <si>
    <t>Clerks Salary</t>
  </si>
  <si>
    <t>P5</t>
  </si>
  <si>
    <t>PAYE</t>
  </si>
  <si>
    <t>P6</t>
  </si>
  <si>
    <t>GAPTC Better Councillor Training C. Forster</t>
  </si>
  <si>
    <t>P7</t>
  </si>
  <si>
    <t>P8</t>
  </si>
  <si>
    <t>IPP John Collinson</t>
  </si>
  <si>
    <t>P9</t>
  </si>
  <si>
    <t>Seymour Surveyors</t>
  </si>
  <si>
    <t>P10</t>
  </si>
  <si>
    <t>P11</t>
  </si>
  <si>
    <t>Aileen Bendall Village Show expenses</t>
  </si>
  <si>
    <t>Cheque</t>
  </si>
  <si>
    <t>P12</t>
  </si>
  <si>
    <t>SLCC Membership</t>
  </si>
  <si>
    <t>P13</t>
  </si>
  <si>
    <t>SLCC Branch Meeting 17/5</t>
  </si>
  <si>
    <t>P14</t>
  </si>
  <si>
    <t>Pride of Avening Trophy</t>
  </si>
  <si>
    <t>P15</t>
  </si>
  <si>
    <t>TV Screen &amp; Bracket</t>
  </si>
  <si>
    <t>R3</t>
  </si>
  <si>
    <t>R2</t>
  </si>
  <si>
    <t>Jennie South (Hanging Baskets)</t>
  </si>
  <si>
    <t>P16</t>
  </si>
  <si>
    <t xml:space="preserve">Came &amp; Company </t>
  </si>
  <si>
    <t>P17</t>
  </si>
  <si>
    <t>Seymour Surveyors 4629</t>
  </si>
  <si>
    <t>P18</t>
  </si>
  <si>
    <t>P19</t>
  </si>
  <si>
    <t>P20</t>
  </si>
  <si>
    <t>P21</t>
  </si>
  <si>
    <t>P22</t>
  </si>
  <si>
    <t>P23</t>
  </si>
  <si>
    <t>P24</t>
  </si>
  <si>
    <t>R4</t>
  </si>
  <si>
    <t>R5</t>
  </si>
  <si>
    <t>Superscoops</t>
  </si>
  <si>
    <t>Balance validation (VAT)</t>
  </si>
  <si>
    <t>P25</t>
  </si>
  <si>
    <t>Amberley &amp; Bisley Bouncy Castles</t>
  </si>
  <si>
    <t>P26</t>
  </si>
  <si>
    <t>P27</t>
  </si>
  <si>
    <t>P28</t>
  </si>
  <si>
    <t>P29</t>
  </si>
  <si>
    <t>P30</t>
  </si>
  <si>
    <t>P31</t>
  </si>
  <si>
    <t>Band for Village Event 13 May</t>
  </si>
  <si>
    <t>P32</t>
  </si>
  <si>
    <t>Mark Towsend Trust</t>
  </si>
  <si>
    <t>R6</t>
  </si>
  <si>
    <t>P33</t>
  </si>
  <si>
    <t>Envelopes for Pig Face Invites</t>
  </si>
  <si>
    <t>P34</t>
  </si>
  <si>
    <t>P35</t>
  </si>
  <si>
    <t>P36</t>
  </si>
  <si>
    <t>Chairmans Expenses</t>
  </si>
  <si>
    <t>P37</t>
  </si>
  <si>
    <t>P38</t>
  </si>
  <si>
    <t>Kevin Norris TV Socket &amp; Bracket</t>
  </si>
  <si>
    <t>P39</t>
  </si>
  <si>
    <t>R7</t>
  </si>
  <si>
    <t>VAT Claim</t>
  </si>
  <si>
    <t>R8</t>
  </si>
  <si>
    <t>Cotswold Costumes</t>
  </si>
  <si>
    <t>CDC Walks Leaflets</t>
  </si>
  <si>
    <t>P40</t>
  </si>
  <si>
    <t>PKF Littlejohn</t>
  </si>
  <si>
    <t>P41</t>
  </si>
  <si>
    <t>P42</t>
  </si>
  <si>
    <t>Pig Face Expenses Paid to Click</t>
  </si>
  <si>
    <t>P43</t>
  </si>
  <si>
    <t>Pig Face Expenses Paid to Christine</t>
  </si>
  <si>
    <t>P44</t>
  </si>
  <si>
    <t>P45</t>
  </si>
  <si>
    <t>Lee Cooper (Tetbury)</t>
  </si>
  <si>
    <t>P46</t>
  </si>
  <si>
    <t>P47</t>
  </si>
  <si>
    <t>P48</t>
  </si>
  <si>
    <t>P49</t>
  </si>
  <si>
    <t>Simon Woodman (Strimming)</t>
  </si>
  <si>
    <t>P50</t>
  </si>
  <si>
    <t>P51</t>
  </si>
  <si>
    <t>P52</t>
  </si>
  <si>
    <t>Slater 4 U</t>
  </si>
  <si>
    <t>P53</t>
  </si>
  <si>
    <t>R9</t>
  </si>
  <si>
    <t>PAYE £20.40 - Not paid as £99.80 Credit on Account</t>
  </si>
  <si>
    <t>P54</t>
  </si>
  <si>
    <t>R10</t>
  </si>
  <si>
    <t>P55</t>
  </si>
  <si>
    <t>Hogroast</t>
  </si>
  <si>
    <t>P56</t>
  </si>
  <si>
    <t>P57</t>
  </si>
  <si>
    <t>P58</t>
  </si>
  <si>
    <t>P59</t>
  </si>
  <si>
    <t>PAYE £35.20 - Not paid as £99.80 Credit on Account</t>
  </si>
  <si>
    <t>P60</t>
  </si>
  <si>
    <t>CDC Dog Waste Bin</t>
  </si>
  <si>
    <t>P61</t>
  </si>
  <si>
    <t>Avening Community Café Grant</t>
  </si>
  <si>
    <t>R11</t>
  </si>
  <si>
    <t>R12</t>
  </si>
  <si>
    <t>Donations at Pig Face day</t>
  </si>
  <si>
    <t>Stroud Print</t>
  </si>
  <si>
    <t>Avondale Garden Maintenance</t>
  </si>
  <si>
    <t>31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</si>
</sst>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/m/yy;@"/>
    <numFmt numFmtId="166" formatCode="d\-mmm"/>
    <numFmt numFmtId="167" formatCode="d\-mmm\-yy"/>
    <numFmt numFmtId="168" formatCode="#,##0.00_ ;\-#,##0.00\ "/>
    <numFmt numFmtId="169" formatCode="_-* #,##0_-;\-* #,##0_-;_-* &quot;-&quot;??_-;_-@_-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3366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0"/>
      <color rgb="FF00336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4" fillId="0" borderId="0"/>
    <xf numFmtId="0" fontId="1" fillId="0" borderId="0"/>
  </cellStyleXfs>
  <cellXfs count="323">
    <xf numFmtId="0" fontId="0" fillId="0" borderId="0" xfId="0"/>
    <xf numFmtId="164" fontId="0" fillId="0" borderId="0" xfId="0" applyNumberFormat="1"/>
    <xf numFmtId="165" fontId="3" fillId="2" borderId="0" xfId="0" applyNumberFormat="1" applyFont="1" applyFill="1"/>
    <xf numFmtId="14" fontId="0" fillId="0" borderId="0" xfId="0" applyNumberFormat="1"/>
    <xf numFmtId="4" fontId="0" fillId="0" borderId="0" xfId="0" applyNumberFormat="1" applyFill="1"/>
    <xf numFmtId="0" fontId="3" fillId="3" borderId="4" xfId="0" applyFont="1" applyFill="1" applyBorder="1"/>
    <xf numFmtId="0" fontId="7" fillId="0" borderId="0" xfId="0" applyFont="1"/>
    <xf numFmtId="49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wrapText="1"/>
    </xf>
    <xf numFmtId="0" fontId="3" fillId="10" borderId="1" xfId="0" applyFont="1" applyFill="1" applyBorder="1" applyAlignment="1">
      <alignment wrapText="1"/>
    </xf>
    <xf numFmtId="2" fontId="0" fillId="0" borderId="0" xfId="0" applyNumberFormat="1"/>
    <xf numFmtId="0" fontId="2" fillId="0" borderId="0" xfId="0" applyFont="1"/>
    <xf numFmtId="169" fontId="9" fillId="0" borderId="0" xfId="1" applyNumberFormat="1" applyFont="1"/>
    <xf numFmtId="1" fontId="9" fillId="0" borderId="0" xfId="1" applyNumberFormat="1" applyFont="1"/>
    <xf numFmtId="169" fontId="11" fillId="0" borderId="21" xfId="1" applyNumberFormat="1" applyFont="1" applyBorder="1"/>
    <xf numFmtId="0" fontId="10" fillId="0" borderId="0" xfId="0" applyFont="1"/>
    <xf numFmtId="0" fontId="9" fillId="0" borderId="0" xfId="0" applyFont="1" applyAlignment="1">
      <alignment vertical="top" wrapText="1"/>
    </xf>
    <xf numFmtId="169" fontId="9" fillId="0" borderId="0" xfId="1" applyNumberFormat="1" applyFont="1" applyAlignment="1">
      <alignment vertical="top"/>
    </xf>
    <xf numFmtId="14" fontId="3" fillId="10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4" fontId="12" fillId="0" borderId="0" xfId="6" applyNumberFormat="1" applyFont="1" applyBorder="1"/>
    <xf numFmtId="0" fontId="13" fillId="0" borderId="5" xfId="0" applyFont="1" applyFill="1" applyBorder="1" applyAlignment="1"/>
    <xf numFmtId="0" fontId="13" fillId="0" borderId="0" xfId="0" applyFont="1" applyBorder="1"/>
    <xf numFmtId="4" fontId="13" fillId="0" borderId="0" xfId="0" applyNumberFormat="1" applyFont="1" applyBorder="1"/>
    <xf numFmtId="4" fontId="14" fillId="0" borderId="4" xfId="1" applyNumberFormat="1" applyFont="1" applyBorder="1"/>
    <xf numFmtId="0" fontId="15" fillId="0" borderId="0" xfId="0" applyFont="1" applyFill="1" applyBorder="1" applyAlignment="1">
      <alignment vertical="top" wrapText="1"/>
    </xf>
    <xf numFmtId="0" fontId="14" fillId="0" borderId="1" xfId="0" applyFont="1" applyBorder="1"/>
    <xf numFmtId="4" fontId="12" fillId="0" borderId="0" xfId="0" applyNumberFormat="1" applyFont="1" applyBorder="1"/>
    <xf numFmtId="4" fontId="14" fillId="0" borderId="13" xfId="0" applyNumberFormat="1" applyFont="1" applyBorder="1"/>
    <xf numFmtId="0" fontId="13" fillId="0" borderId="1" xfId="0" applyFont="1" applyBorder="1"/>
    <xf numFmtId="4" fontId="13" fillId="0" borderId="1" xfId="0" applyNumberFormat="1" applyFont="1" applyBorder="1"/>
    <xf numFmtId="4" fontId="13" fillId="0" borderId="1" xfId="1" applyNumberFormat="1" applyFont="1" applyBorder="1"/>
    <xf numFmtId="2" fontId="14" fillId="0" borderId="13" xfId="0" applyNumberFormat="1" applyFont="1" applyBorder="1"/>
    <xf numFmtId="4" fontId="12" fillId="0" borderId="0" xfId="1" applyNumberFormat="1" applyFont="1" applyBorder="1"/>
    <xf numFmtId="0" fontId="13" fillId="0" borderId="5" xfId="0" applyFont="1" applyBorder="1"/>
    <xf numFmtId="0" fontId="13" fillId="0" borderId="0" xfId="0" applyFont="1"/>
    <xf numFmtId="4" fontId="14" fillId="0" borderId="4" xfId="0" applyNumberFormat="1" applyFont="1" applyBorder="1"/>
    <xf numFmtId="4" fontId="13" fillId="0" borderId="13" xfId="0" applyNumberFormat="1" applyFont="1" applyBorder="1"/>
    <xf numFmtId="0" fontId="14" fillId="0" borderId="0" xfId="0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top" wrapText="1"/>
    </xf>
    <xf numFmtId="4" fontId="14" fillId="0" borderId="1" xfId="0" applyNumberFormat="1" applyFont="1" applyBorder="1"/>
    <xf numFmtId="0" fontId="17" fillId="0" borderId="0" xfId="0" applyNumberFormat="1" applyFont="1" applyFill="1" applyBorder="1" applyAlignment="1">
      <alignment vertical="top" wrapText="1"/>
    </xf>
    <xf numFmtId="0" fontId="13" fillId="0" borderId="6" xfId="0" applyFont="1" applyBorder="1"/>
    <xf numFmtId="0" fontId="13" fillId="0" borderId="7" xfId="0" applyFont="1" applyBorder="1"/>
    <xf numFmtId="4" fontId="13" fillId="0" borderId="7" xfId="0" applyNumberFormat="1" applyFont="1" applyBorder="1"/>
    <xf numFmtId="4" fontId="14" fillId="0" borderId="17" xfId="0" applyNumberFormat="1" applyFont="1" applyBorder="1"/>
    <xf numFmtId="4" fontId="12" fillId="0" borderId="0" xfId="1" applyNumberFormat="1" applyFont="1" applyFill="1" applyBorder="1"/>
    <xf numFmtId="4" fontId="14" fillId="0" borderId="0" xfId="1" applyNumberFormat="1" applyFont="1" applyBorder="1"/>
    <xf numFmtId="0" fontId="18" fillId="0" borderId="0" xfId="0" applyFont="1" applyFill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168" fontId="20" fillId="0" borderId="18" xfId="6" applyNumberFormat="1" applyFont="1" applyBorder="1"/>
    <xf numFmtId="4" fontId="13" fillId="15" borderId="13" xfId="0" applyNumberFormat="1" applyFont="1" applyFill="1" applyBorder="1"/>
    <xf numFmtId="44" fontId="12" fillId="15" borderId="13" xfId="0" applyNumberFormat="1" applyFont="1" applyFill="1" applyBorder="1"/>
    <xf numFmtId="44" fontId="12" fillId="15" borderId="13" xfId="1" applyNumberFormat="1" applyFont="1" applyFill="1" applyBorder="1"/>
    <xf numFmtId="4" fontId="12" fillId="15" borderId="13" xfId="1" applyNumberFormat="1" applyFont="1" applyFill="1" applyBorder="1"/>
    <xf numFmtId="0" fontId="21" fillId="0" borderId="0" xfId="7" applyFont="1" applyAlignment="1">
      <alignment horizontal="center" vertical="center"/>
    </xf>
    <xf numFmtId="0" fontId="22" fillId="0" borderId="0" xfId="7" applyFont="1" applyAlignment="1">
      <alignment horizontal="center" vertical="center" textRotation="90" wrapText="1"/>
    </xf>
    <xf numFmtId="0" fontId="22" fillId="0" borderId="0" xfId="7" applyFont="1" applyAlignment="1">
      <alignment horizontal="center" vertical="center"/>
    </xf>
    <xf numFmtId="0" fontId="21" fillId="0" borderId="0" xfId="7" applyFont="1" applyAlignment="1">
      <alignment horizontal="center" wrapText="1"/>
    </xf>
    <xf numFmtId="0" fontId="21" fillId="0" borderId="0" xfId="7" applyFont="1" applyAlignment="1">
      <alignment horizontal="center"/>
    </xf>
    <xf numFmtId="0" fontId="22" fillId="0" borderId="0" xfId="7" applyFont="1" applyAlignment="1">
      <alignment horizontal="center"/>
    </xf>
    <xf numFmtId="0" fontId="23" fillId="0" borderId="0" xfId="0" applyFont="1"/>
    <xf numFmtId="0" fontId="22" fillId="0" borderId="0" xfId="7" applyFont="1" applyAlignment="1">
      <alignment wrapText="1"/>
    </xf>
    <xf numFmtId="0" fontId="24" fillId="16" borderId="0" xfId="7" applyFont="1" applyFill="1" applyAlignment="1">
      <alignment horizontal="center" vertical="center" wrapText="1"/>
    </xf>
    <xf numFmtId="0" fontId="24" fillId="16" borderId="0" xfId="7" applyFont="1" applyFill="1" applyBorder="1" applyAlignment="1">
      <alignment horizontal="center" vertical="center" wrapText="1"/>
    </xf>
    <xf numFmtId="0" fontId="21" fillId="17" borderId="0" xfId="7" applyFont="1" applyFill="1" applyBorder="1" applyAlignment="1">
      <alignment horizontal="center" vertical="center" wrapText="1"/>
    </xf>
    <xf numFmtId="0" fontId="24" fillId="16" borderId="0" xfId="7" applyFont="1" applyFill="1" applyBorder="1" applyAlignment="1">
      <alignment horizontal="center" vertical="center"/>
    </xf>
    <xf numFmtId="169" fontId="22" fillId="0" borderId="23" xfId="1" applyNumberFormat="1" applyFont="1" applyBorder="1" applyAlignment="1">
      <alignment vertical="top"/>
    </xf>
    <xf numFmtId="0" fontId="23" fillId="0" borderId="0" xfId="7" applyFont="1" applyAlignment="1">
      <alignment horizontal="left"/>
    </xf>
    <xf numFmtId="0" fontId="21" fillId="0" borderId="0" xfId="7" applyFont="1"/>
    <xf numFmtId="0" fontId="22" fillId="0" borderId="0" xfId="7" applyFont="1"/>
    <xf numFmtId="0" fontId="22" fillId="0" borderId="0" xfId="7" applyFont="1" applyFill="1"/>
    <xf numFmtId="0" fontId="22" fillId="0" borderId="0" xfId="7" applyFont="1" applyAlignment="1">
      <alignment vertical="top"/>
    </xf>
    <xf numFmtId="3" fontId="22" fillId="0" borderId="23" xfId="7" applyNumberFormat="1" applyFont="1" applyBorder="1" applyAlignment="1">
      <alignment vertical="top"/>
    </xf>
    <xf numFmtId="3" fontId="22" fillId="0" borderId="23" xfId="7" applyNumberFormat="1" applyFont="1" applyFill="1" applyBorder="1" applyAlignment="1">
      <alignment vertical="top"/>
    </xf>
    <xf numFmtId="169" fontId="23" fillId="0" borderId="23" xfId="1" applyNumberFormat="1" applyFont="1" applyBorder="1" applyAlignment="1">
      <alignment vertical="top"/>
    </xf>
    <xf numFmtId="0" fontId="23" fillId="0" borderId="23" xfId="7" applyFont="1" applyFill="1" applyBorder="1" applyAlignment="1">
      <alignment horizontal="left" vertical="top" wrapText="1"/>
    </xf>
    <xf numFmtId="0" fontId="23" fillId="0" borderId="23" xfId="7" applyFont="1" applyBorder="1" applyAlignment="1">
      <alignment horizontal="left" vertical="top" wrapText="1"/>
    </xf>
    <xf numFmtId="0" fontId="23" fillId="0" borderId="24" xfId="7" applyFont="1" applyBorder="1" applyAlignment="1">
      <alignment horizontal="right" vertical="top" wrapText="1"/>
    </xf>
    <xf numFmtId="3" fontId="22" fillId="0" borderId="24" xfId="7" applyNumberFormat="1" applyFont="1" applyBorder="1" applyAlignment="1">
      <alignment vertical="top"/>
    </xf>
    <xf numFmtId="3" fontId="22" fillId="0" borderId="24" xfId="7" applyNumberFormat="1" applyFont="1" applyFill="1" applyBorder="1" applyAlignment="1">
      <alignment vertical="top"/>
    </xf>
    <xf numFmtId="169" fontId="22" fillId="0" borderId="24" xfId="1" applyNumberFormat="1" applyFont="1" applyBorder="1" applyAlignment="1">
      <alignment vertical="top"/>
    </xf>
    <xf numFmtId="169" fontId="23" fillId="0" borderId="24" xfId="1" applyNumberFormat="1" applyFont="1" applyBorder="1" applyAlignment="1">
      <alignment vertical="top"/>
    </xf>
    <xf numFmtId="3" fontId="20" fillId="0" borderId="25" xfId="7" applyNumberFormat="1" applyFont="1" applyFill="1" applyBorder="1" applyAlignment="1">
      <alignment vertical="top"/>
    </xf>
    <xf numFmtId="3" fontId="20" fillId="0" borderId="23" xfId="7" applyNumberFormat="1" applyFont="1" applyFill="1" applyBorder="1" applyAlignment="1">
      <alignment horizontal="left" vertical="top"/>
    </xf>
    <xf numFmtId="0" fontId="21" fillId="11" borderId="0" xfId="7" applyFont="1" applyFill="1" applyAlignment="1">
      <alignment vertical="top"/>
    </xf>
    <xf numFmtId="0" fontId="23" fillId="0" borderId="23" xfId="7" applyFont="1" applyBorder="1" applyAlignment="1">
      <alignment horizontal="right" vertical="top"/>
    </xf>
    <xf numFmtId="0" fontId="20" fillId="0" borderId="23" xfId="7" applyFont="1" applyBorder="1" applyAlignment="1">
      <alignment horizontal="right" vertical="top"/>
    </xf>
    <xf numFmtId="3" fontId="20" fillId="0" borderId="23" xfId="7" applyNumberFormat="1" applyFont="1" applyFill="1" applyBorder="1" applyAlignment="1">
      <alignment vertical="top"/>
    </xf>
    <xf numFmtId="0" fontId="20" fillId="19" borderId="23" xfId="7" applyFont="1" applyFill="1" applyBorder="1" applyAlignment="1">
      <alignment horizontal="right" vertical="top"/>
    </xf>
    <xf numFmtId="3" fontId="20" fillId="19" borderId="23" xfId="7" applyNumberFormat="1" applyFont="1" applyFill="1" applyBorder="1" applyAlignment="1">
      <alignment vertical="top"/>
    </xf>
    <xf numFmtId="169" fontId="22" fillId="19" borderId="23" xfId="1" applyNumberFormat="1" applyFont="1" applyFill="1" applyBorder="1" applyAlignment="1">
      <alignment vertical="top"/>
    </xf>
    <xf numFmtId="169" fontId="23" fillId="19" borderId="23" xfId="1" applyNumberFormat="1" applyFont="1" applyFill="1" applyBorder="1" applyAlignment="1">
      <alignment vertical="top"/>
    </xf>
    <xf numFmtId="0" fontId="22" fillId="0" borderId="23" xfId="7" applyFont="1" applyBorder="1" applyAlignment="1">
      <alignment vertical="top"/>
    </xf>
    <xf numFmtId="3" fontId="20" fillId="0" borderId="25" xfId="7" applyNumberFormat="1" applyFont="1" applyBorder="1" applyAlignment="1">
      <alignment vertical="top"/>
    </xf>
    <xf numFmtId="0" fontId="20" fillId="0" borderId="23" xfId="7" applyFont="1" applyFill="1" applyBorder="1" applyAlignment="1">
      <alignment horizontal="right" vertical="top"/>
    </xf>
    <xf numFmtId="3" fontId="21" fillId="0" borderId="25" xfId="7" applyNumberFormat="1" applyFont="1" applyBorder="1" applyAlignment="1">
      <alignment vertical="top"/>
    </xf>
    <xf numFmtId="3" fontId="21" fillId="0" borderId="25" xfId="7" applyNumberFormat="1" applyFont="1" applyFill="1" applyBorder="1" applyAlignment="1">
      <alignment vertical="top"/>
    </xf>
    <xf numFmtId="169" fontId="22" fillId="0" borderId="26" xfId="1" applyNumberFormat="1" applyFont="1" applyBorder="1" applyAlignment="1">
      <alignment vertical="top"/>
    </xf>
    <xf numFmtId="169" fontId="23" fillId="0" borderId="26" xfId="1" applyNumberFormat="1" applyFont="1" applyBorder="1" applyAlignment="1">
      <alignment vertical="top"/>
    </xf>
    <xf numFmtId="3" fontId="21" fillId="0" borderId="27" xfId="7" applyNumberFormat="1" applyFont="1" applyBorder="1" applyAlignment="1">
      <alignment vertical="top"/>
    </xf>
    <xf numFmtId="0" fontId="21" fillId="12" borderId="0" xfId="7" applyFont="1" applyFill="1" applyAlignment="1">
      <alignment vertical="top"/>
    </xf>
    <xf numFmtId="0" fontId="20" fillId="0" borderId="25" xfId="7" applyFont="1" applyBorder="1" applyAlignment="1">
      <alignment vertical="top"/>
    </xf>
    <xf numFmtId="169" fontId="22" fillId="0" borderId="25" xfId="1" applyNumberFormat="1" applyFont="1" applyBorder="1" applyAlignment="1">
      <alignment vertical="top"/>
    </xf>
    <xf numFmtId="169" fontId="23" fillId="0" borderId="25" xfId="1" applyNumberFormat="1" applyFont="1" applyBorder="1" applyAlignment="1">
      <alignment vertical="top"/>
    </xf>
    <xf numFmtId="0" fontId="21" fillId="0" borderId="23" xfId="7" applyFont="1" applyBorder="1" applyAlignment="1">
      <alignment vertical="top"/>
    </xf>
    <xf numFmtId="0" fontId="21" fillId="0" borderId="23" xfId="7" applyFont="1" applyFill="1" applyBorder="1" applyAlignment="1">
      <alignment horizontal="center" vertical="top"/>
    </xf>
    <xf numFmtId="169" fontId="21" fillId="0" borderId="23" xfId="1" applyNumberFormat="1" applyFont="1" applyBorder="1" applyAlignment="1">
      <alignment vertical="top"/>
    </xf>
    <xf numFmtId="169" fontId="20" fillId="0" borderId="23" xfId="1" applyNumberFormat="1" applyFont="1" applyBorder="1" applyAlignment="1">
      <alignment vertical="top"/>
    </xf>
    <xf numFmtId="169" fontId="22" fillId="0" borderId="23" xfId="1" applyNumberFormat="1" applyFont="1" applyBorder="1" applyAlignment="1">
      <alignment horizontal="right" vertical="top"/>
    </xf>
    <xf numFmtId="41" fontId="22" fillId="0" borderId="23" xfId="7" applyNumberFormat="1" applyFont="1" applyFill="1" applyBorder="1" applyAlignment="1">
      <alignment vertical="top"/>
    </xf>
    <xf numFmtId="4" fontId="21" fillId="11" borderId="0" xfId="7" applyNumberFormat="1" applyFont="1" applyFill="1" applyAlignment="1">
      <alignment horizontal="left" vertical="top"/>
    </xf>
    <xf numFmtId="0" fontId="22" fillId="0" borderId="23" xfId="7" applyFont="1" applyFill="1" applyBorder="1" applyAlignment="1">
      <alignment vertical="top"/>
    </xf>
    <xf numFmtId="169" fontId="23" fillId="0" borderId="23" xfId="1" applyNumberFormat="1" applyFont="1" applyBorder="1" applyAlignment="1">
      <alignment horizontal="right" vertical="top"/>
    </xf>
    <xf numFmtId="0" fontId="25" fillId="0" borderId="0" xfId="7" applyFont="1" applyAlignment="1">
      <alignment horizontal="right" vertical="top" wrapText="1"/>
    </xf>
    <xf numFmtId="169" fontId="25" fillId="0" borderId="0" xfId="1" applyNumberFormat="1" applyFont="1" applyBorder="1" applyAlignment="1">
      <alignment horizontal="right" vertical="top"/>
    </xf>
    <xf numFmtId="0" fontId="23" fillId="0" borderId="0" xfId="7" applyFont="1" applyBorder="1" applyAlignment="1">
      <alignment horizontal="left" vertical="top" wrapText="1"/>
    </xf>
    <xf numFmtId="41" fontId="21" fillId="0" borderId="0" xfId="7" applyNumberFormat="1" applyFont="1"/>
    <xf numFmtId="0" fontId="23" fillId="0" borderId="28" xfId="7" applyFont="1" applyBorder="1" applyAlignment="1">
      <alignment horizontal="right" vertical="top" wrapText="1"/>
    </xf>
    <xf numFmtId="0" fontId="23" fillId="0" borderId="29" xfId="7" applyFont="1" applyBorder="1" applyAlignment="1">
      <alignment horizontal="right" vertical="top" wrapText="1"/>
    </xf>
    <xf numFmtId="0" fontId="25" fillId="20" borderId="30" xfId="7" applyFont="1" applyFill="1" applyBorder="1" applyAlignment="1">
      <alignment horizontal="right" vertical="top" wrapText="1"/>
    </xf>
    <xf numFmtId="0" fontId="22" fillId="0" borderId="28" xfId="7" applyFont="1" applyBorder="1" applyAlignment="1">
      <alignment vertical="top" wrapText="1"/>
    </xf>
    <xf numFmtId="0" fontId="22" fillId="0" borderId="28" xfId="7" applyFont="1" applyBorder="1" applyAlignment="1">
      <alignment horizontal="right" vertical="top" wrapText="1"/>
    </xf>
    <xf numFmtId="0" fontId="20" fillId="0" borderId="28" xfId="7" applyFont="1" applyFill="1" applyBorder="1" applyAlignment="1">
      <alignment horizontal="right" vertical="top" wrapText="1"/>
    </xf>
    <xf numFmtId="0" fontId="22" fillId="0" borderId="29" xfId="7" applyFont="1" applyBorder="1" applyAlignment="1">
      <alignment horizontal="right" vertical="top" wrapText="1"/>
    </xf>
    <xf numFmtId="0" fontId="22" fillId="0" borderId="31" xfId="7" applyFont="1" applyBorder="1" applyAlignment="1">
      <alignment vertical="top" wrapText="1"/>
    </xf>
    <xf numFmtId="0" fontId="21" fillId="0" borderId="32" xfId="7" applyFont="1" applyBorder="1" applyAlignment="1">
      <alignment vertical="top" wrapText="1"/>
    </xf>
    <xf numFmtId="0" fontId="20" fillId="0" borderId="30" xfId="7" applyFont="1" applyBorder="1" applyAlignment="1">
      <alignment vertical="top" wrapText="1"/>
    </xf>
    <xf numFmtId="0" fontId="21" fillId="0" borderId="28" xfId="7" applyFont="1" applyBorder="1" applyAlignment="1">
      <alignment vertical="top" wrapText="1"/>
    </xf>
    <xf numFmtId="0" fontId="22" fillId="20" borderId="23" xfId="7" applyFont="1" applyFill="1" applyBorder="1" applyAlignment="1">
      <alignment horizontal="center" vertical="center"/>
    </xf>
    <xf numFmtId="0" fontId="22" fillId="0" borderId="23" xfId="7" applyFont="1" applyBorder="1" applyAlignment="1">
      <alignment horizontal="center" vertical="center"/>
    </xf>
    <xf numFmtId="0" fontId="21" fillId="12" borderId="23" xfId="7" applyFont="1" applyFill="1" applyBorder="1" applyAlignment="1">
      <alignment horizontal="center" vertical="center"/>
    </xf>
    <xf numFmtId="4" fontId="21" fillId="11" borderId="23" xfId="7" applyNumberFormat="1" applyFont="1" applyFill="1" applyBorder="1" applyAlignment="1">
      <alignment horizontal="center" vertical="center"/>
    </xf>
    <xf numFmtId="0" fontId="22" fillId="21" borderId="23" xfId="7" applyFont="1" applyFill="1" applyBorder="1" applyAlignment="1">
      <alignment horizontal="center" vertical="center"/>
    </xf>
    <xf numFmtId="0" fontId="25" fillId="21" borderId="30" xfId="7" applyFont="1" applyFill="1" applyBorder="1" applyAlignment="1">
      <alignment horizontal="right" vertical="top" wrapText="1"/>
    </xf>
    <xf numFmtId="0" fontId="22" fillId="22" borderId="23" xfId="7" applyFont="1" applyFill="1" applyBorder="1" applyAlignment="1">
      <alignment horizontal="center" vertical="center"/>
    </xf>
    <xf numFmtId="0" fontId="21" fillId="22" borderId="23" xfId="7" applyFont="1" applyFill="1" applyBorder="1" applyAlignment="1">
      <alignment horizontal="center" vertical="center"/>
    </xf>
    <xf numFmtId="0" fontId="25" fillId="22" borderId="30" xfId="7" applyFont="1" applyFill="1" applyBorder="1" applyAlignment="1">
      <alignment horizontal="right" vertical="top" wrapText="1"/>
    </xf>
    <xf numFmtId="0" fontId="22" fillId="12" borderId="23" xfId="7" applyFont="1" applyFill="1" applyBorder="1" applyAlignment="1">
      <alignment horizontal="center" vertical="center"/>
    </xf>
    <xf numFmtId="0" fontId="25" fillId="12" borderId="30" xfId="7" applyFont="1" applyFill="1" applyBorder="1" applyAlignment="1">
      <alignment horizontal="right" vertical="top" wrapText="1"/>
    </xf>
    <xf numFmtId="0" fontId="22" fillId="23" borderId="23" xfId="7" applyFont="1" applyFill="1" applyBorder="1" applyAlignment="1">
      <alignment horizontal="center" vertical="center"/>
    </xf>
    <xf numFmtId="0" fontId="25" fillId="23" borderId="30" xfId="7" applyFont="1" applyFill="1" applyBorder="1" applyAlignment="1">
      <alignment horizontal="right" vertical="top" wrapText="1"/>
    </xf>
    <xf numFmtId="0" fontId="22" fillId="24" borderId="23" xfId="7" applyFont="1" applyFill="1" applyBorder="1" applyAlignment="1">
      <alignment horizontal="center" vertical="center"/>
    </xf>
    <xf numFmtId="0" fontId="25" fillId="24" borderId="30" xfId="7" applyFont="1" applyFill="1" applyBorder="1" applyAlignment="1">
      <alignment horizontal="right" vertical="top" wrapText="1"/>
    </xf>
    <xf numFmtId="0" fontId="22" fillId="15" borderId="23" xfId="7" applyFont="1" applyFill="1" applyBorder="1" applyAlignment="1">
      <alignment horizontal="center" vertical="center"/>
    </xf>
    <xf numFmtId="0" fontId="22" fillId="15" borderId="28" xfId="7" applyFont="1" applyFill="1" applyBorder="1" applyAlignment="1">
      <alignment horizontal="right" vertical="top" wrapText="1"/>
    </xf>
    <xf numFmtId="169" fontId="23" fillId="25" borderId="23" xfId="1" applyNumberFormat="1" applyFont="1" applyFill="1" applyBorder="1" applyAlignment="1">
      <alignment vertical="top"/>
    </xf>
    <xf numFmtId="169" fontId="23" fillId="25" borderId="24" xfId="1" applyNumberFormat="1" applyFont="1" applyFill="1" applyBorder="1" applyAlignment="1">
      <alignment vertical="top"/>
    </xf>
    <xf numFmtId="3" fontId="20" fillId="25" borderId="25" xfId="7" applyNumberFormat="1" applyFont="1" applyFill="1" applyBorder="1" applyAlignment="1">
      <alignment vertical="top"/>
    </xf>
    <xf numFmtId="41" fontId="20" fillId="25" borderId="25" xfId="7" applyNumberFormat="1" applyFont="1" applyFill="1" applyBorder="1" applyAlignment="1">
      <alignment vertical="top"/>
    </xf>
    <xf numFmtId="169" fontId="23" fillId="25" borderId="26" xfId="1" applyNumberFormat="1" applyFont="1" applyFill="1" applyBorder="1" applyAlignment="1">
      <alignment vertical="top"/>
    </xf>
    <xf numFmtId="3" fontId="21" fillId="25" borderId="27" xfId="7" applyNumberFormat="1" applyFont="1" applyFill="1" applyBorder="1" applyAlignment="1">
      <alignment vertical="top"/>
    </xf>
    <xf numFmtId="0" fontId="23" fillId="0" borderId="31" xfId="7" applyFont="1" applyBorder="1" applyAlignment="1">
      <alignment horizontal="right" vertical="top" wrapText="1"/>
    </xf>
    <xf numFmtId="0" fontId="22" fillId="21" borderId="25" xfId="7" applyFont="1" applyFill="1" applyBorder="1" applyAlignment="1">
      <alignment horizontal="center" vertical="center"/>
    </xf>
    <xf numFmtId="0" fontId="22" fillId="21" borderId="24" xfId="7" applyFont="1" applyFill="1" applyBorder="1" applyAlignment="1">
      <alignment horizontal="center" vertical="center"/>
    </xf>
    <xf numFmtId="0" fontId="23" fillId="0" borderId="24" xfId="7" applyFont="1" applyBorder="1" applyAlignment="1">
      <alignment horizontal="right" vertical="top"/>
    </xf>
    <xf numFmtId="3" fontId="22" fillId="0" borderId="26" xfId="7" applyNumberFormat="1" applyFont="1" applyBorder="1" applyAlignment="1">
      <alignment vertical="top"/>
    </xf>
    <xf numFmtId="3" fontId="22" fillId="0" borderId="26" xfId="7" applyNumberFormat="1" applyFont="1" applyFill="1" applyBorder="1" applyAlignment="1">
      <alignment vertical="top"/>
    </xf>
    <xf numFmtId="0" fontId="23" fillId="0" borderId="28" xfId="7" applyFont="1" applyFill="1" applyBorder="1" applyAlignment="1">
      <alignment horizontal="right" vertical="top" wrapText="1"/>
    </xf>
    <xf numFmtId="169" fontId="23" fillId="25" borderId="25" xfId="1" applyNumberFormat="1" applyFont="1" applyFill="1" applyBorder="1" applyAlignment="1">
      <alignment vertical="top"/>
    </xf>
    <xf numFmtId="169" fontId="20" fillId="25" borderId="23" xfId="1" applyNumberFormat="1" applyFont="1" applyFill="1" applyBorder="1" applyAlignment="1">
      <alignment vertical="top"/>
    </xf>
    <xf numFmtId="169" fontId="23" fillId="19" borderId="26" xfId="1" applyNumberFormat="1" applyFont="1" applyFill="1" applyBorder="1" applyAlignment="1">
      <alignment vertical="top"/>
    </xf>
    <xf numFmtId="169" fontId="23" fillId="0" borderId="26" xfId="1" applyNumberFormat="1" applyFont="1" applyFill="1" applyBorder="1" applyAlignment="1">
      <alignment vertical="top"/>
    </xf>
    <xf numFmtId="3" fontId="22" fillId="0" borderId="33" xfId="7" applyNumberFormat="1" applyFont="1" applyFill="1" applyBorder="1" applyAlignment="1">
      <alignment vertical="top"/>
    </xf>
    <xf numFmtId="169" fontId="22" fillId="0" borderId="33" xfId="1" applyNumberFormat="1" applyFont="1" applyBorder="1" applyAlignment="1">
      <alignment vertical="top"/>
    </xf>
    <xf numFmtId="169" fontId="23" fillId="0" borderId="33" xfId="1" applyNumberFormat="1" applyFont="1" applyBorder="1" applyAlignment="1">
      <alignment vertical="top"/>
    </xf>
    <xf numFmtId="169" fontId="23" fillId="25" borderId="33" xfId="1" applyNumberFormat="1" applyFont="1" applyFill="1" applyBorder="1" applyAlignment="1">
      <alignment vertical="top"/>
    </xf>
    <xf numFmtId="41" fontId="23" fillId="0" borderId="21" xfId="7" applyNumberFormat="1" applyFont="1" applyBorder="1"/>
    <xf numFmtId="41" fontId="23" fillId="25" borderId="21" xfId="7" applyNumberFormat="1" applyFont="1" applyFill="1" applyBorder="1"/>
    <xf numFmtId="169" fontId="22" fillId="0" borderId="26" xfId="1" applyNumberFormat="1" applyFont="1" applyBorder="1" applyAlignment="1">
      <alignment horizontal="right" vertical="top"/>
    </xf>
    <xf numFmtId="41" fontId="22" fillId="0" borderId="26" xfId="7" applyNumberFormat="1" applyFont="1" applyFill="1" applyBorder="1" applyAlignment="1">
      <alignment vertical="top"/>
    </xf>
    <xf numFmtId="4" fontId="22" fillId="0" borderId="25" xfId="7" applyNumberFormat="1" applyFont="1" applyFill="1" applyBorder="1" applyAlignment="1">
      <alignment vertical="top"/>
    </xf>
    <xf numFmtId="41" fontId="21" fillId="13" borderId="34" xfId="7" applyNumberFormat="1" applyFont="1" applyFill="1" applyBorder="1" applyAlignment="1">
      <alignment vertical="top"/>
    </xf>
    <xf numFmtId="41" fontId="20" fillId="0" borderId="34" xfId="7" applyNumberFormat="1" applyFont="1" applyFill="1" applyBorder="1" applyAlignment="1">
      <alignment vertical="top"/>
    </xf>
    <xf numFmtId="41" fontId="20" fillId="25" borderId="34" xfId="7" applyNumberFormat="1" applyFont="1" applyFill="1" applyBorder="1" applyAlignment="1">
      <alignment vertical="top"/>
    </xf>
    <xf numFmtId="169" fontId="22" fillId="0" borderId="0" xfId="7" applyNumberFormat="1" applyFont="1"/>
    <xf numFmtId="0" fontId="22" fillId="19" borderId="26" xfId="7" applyFont="1" applyFill="1" applyBorder="1" applyAlignment="1">
      <alignment vertical="top"/>
    </xf>
    <xf numFmtId="169" fontId="22" fillId="19" borderId="26" xfId="1" applyNumberFormat="1" applyFont="1" applyFill="1" applyBorder="1" applyAlignment="1">
      <alignment vertical="top"/>
    </xf>
    <xf numFmtId="169" fontId="23" fillId="0" borderId="23" xfId="1" applyNumberFormat="1" applyFont="1" applyFill="1" applyBorder="1" applyAlignment="1">
      <alignment vertical="top"/>
    </xf>
    <xf numFmtId="0" fontId="26" fillId="0" borderId="0" xfId="4" applyFont="1"/>
    <xf numFmtId="0" fontId="26" fillId="18" borderId="0" xfId="4" applyFont="1" applyFill="1"/>
    <xf numFmtId="0" fontId="26" fillId="20" borderId="0" xfId="4" applyFont="1" applyFill="1"/>
    <xf numFmtId="0" fontId="26" fillId="0" borderId="0" xfId="4" applyFont="1" applyAlignment="1">
      <alignment horizontal="left"/>
    </xf>
    <xf numFmtId="0" fontId="27" fillId="0" borderId="0" xfId="4" applyFont="1"/>
    <xf numFmtId="43" fontId="26" fillId="0" borderId="0" xfId="4" applyNumberFormat="1" applyFont="1" applyBorder="1"/>
    <xf numFmtId="4" fontId="26" fillId="0" borderId="0" xfId="4" applyNumberFormat="1" applyFont="1"/>
    <xf numFmtId="168" fontId="26" fillId="0" borderId="0" xfId="4" applyNumberFormat="1" applyFont="1"/>
    <xf numFmtId="0" fontId="28" fillId="0" borderId="0" xfId="6" applyFont="1"/>
    <xf numFmtId="0" fontId="28" fillId="0" borderId="0" xfId="6" applyFont="1" applyAlignment="1"/>
    <xf numFmtId="0" fontId="29" fillId="11" borderId="0" xfId="6" applyFont="1" applyFill="1" applyBorder="1" applyAlignment="1"/>
    <xf numFmtId="0" fontId="28" fillId="0" borderId="7" xfId="6" applyFont="1" applyBorder="1" applyAlignment="1">
      <alignment horizontal="center"/>
    </xf>
    <xf numFmtId="0" fontId="28" fillId="0" borderId="7" xfId="6" applyFont="1" applyBorder="1"/>
    <xf numFmtId="0" fontId="28" fillId="0" borderId="0" xfId="6" applyFont="1" applyBorder="1"/>
    <xf numFmtId="0" fontId="29" fillId="14" borderId="10" xfId="6" applyFont="1" applyFill="1" applyBorder="1" applyAlignment="1">
      <alignment horizontal="center" vertical="center"/>
    </xf>
    <xf numFmtId="0" fontId="29" fillId="0" borderId="14" xfId="6" applyFont="1" applyBorder="1" applyAlignment="1">
      <alignment horizontal="center" vertical="center" wrapText="1"/>
    </xf>
    <xf numFmtId="0" fontId="29" fillId="0" borderId="16" xfId="6" applyFont="1" applyBorder="1" applyAlignment="1">
      <alignment horizontal="center" vertical="center" wrapText="1"/>
    </xf>
    <xf numFmtId="0" fontId="29" fillId="0" borderId="17" xfId="6" applyFont="1" applyBorder="1" applyAlignment="1">
      <alignment horizontal="center" vertical="center" wrapText="1"/>
    </xf>
    <xf numFmtId="0" fontId="29" fillId="0" borderId="15" xfId="6" applyFont="1" applyBorder="1" applyAlignment="1">
      <alignment horizontal="center" vertical="center" wrapText="1"/>
    </xf>
    <xf numFmtId="166" fontId="28" fillId="0" borderId="11" xfId="6" applyNumberFormat="1" applyFont="1" applyBorder="1" applyAlignment="1">
      <alignment horizontal="center"/>
    </xf>
    <xf numFmtId="0" fontId="29" fillId="5" borderId="11" xfId="6" applyFont="1" applyFill="1" applyBorder="1"/>
    <xf numFmtId="0" fontId="29" fillId="5" borderId="12" xfId="6" applyFont="1" applyFill="1" applyBorder="1"/>
    <xf numFmtId="43" fontId="29" fillId="5" borderId="13" xfId="6" applyNumberFormat="1" applyFont="1" applyFill="1" applyBorder="1"/>
    <xf numFmtId="43" fontId="28" fillId="0" borderId="12" xfId="6" applyNumberFormat="1" applyFont="1" applyBorder="1"/>
    <xf numFmtId="43" fontId="28" fillId="0" borderId="13" xfId="6" applyNumberFormat="1" applyFont="1" applyBorder="1"/>
    <xf numFmtId="0" fontId="26" fillId="20" borderId="23" xfId="7" applyFont="1" applyFill="1" applyBorder="1" applyAlignment="1">
      <alignment horizontal="left" vertical="center"/>
    </xf>
    <xf numFmtId="0" fontId="30" fillId="20" borderId="30" xfId="7" applyFont="1" applyFill="1" applyBorder="1" applyAlignment="1">
      <alignment horizontal="left" vertical="top" wrapText="1"/>
    </xf>
    <xf numFmtId="0" fontId="28" fillId="0" borderId="11" xfId="6" applyFont="1" applyFill="1" applyBorder="1"/>
    <xf numFmtId="0" fontId="28" fillId="0" borderId="12" xfId="6" applyFont="1" applyFill="1" applyBorder="1"/>
    <xf numFmtId="43" fontId="28" fillId="0" borderId="13" xfId="6" applyNumberFormat="1" applyFont="1" applyFill="1" applyBorder="1"/>
    <xf numFmtId="0" fontId="28" fillId="18" borderId="28" xfId="7" applyFont="1" applyFill="1" applyBorder="1" applyAlignment="1">
      <alignment horizontal="left" vertical="top" wrapText="1"/>
    </xf>
    <xf numFmtId="0" fontId="28" fillId="0" borderId="28" xfId="7" applyFont="1" applyBorder="1" applyAlignment="1">
      <alignment horizontal="left" vertical="top" wrapText="1"/>
    </xf>
    <xf numFmtId="0" fontId="28" fillId="0" borderId="31" xfId="7" applyFont="1" applyBorder="1" applyAlignment="1">
      <alignment horizontal="left" vertical="top" wrapText="1"/>
    </xf>
    <xf numFmtId="0" fontId="28" fillId="0" borderId="29" xfId="7" applyFont="1" applyBorder="1" applyAlignment="1">
      <alignment horizontal="left" vertical="top" wrapText="1"/>
    </xf>
    <xf numFmtId="0" fontId="26" fillId="21" borderId="23" xfId="7" applyFont="1" applyFill="1" applyBorder="1" applyAlignment="1">
      <alignment horizontal="center" vertical="center"/>
    </xf>
    <xf numFmtId="0" fontId="30" fillId="21" borderId="30" xfId="7" applyFont="1" applyFill="1" applyBorder="1" applyAlignment="1">
      <alignment horizontal="left" vertical="top" wrapText="1"/>
    </xf>
    <xf numFmtId="0" fontId="26" fillId="0" borderId="28" xfId="7" applyFont="1" applyBorder="1" applyAlignment="1">
      <alignment horizontal="left" vertical="top" wrapText="1"/>
    </xf>
    <xf numFmtId="0" fontId="28" fillId="0" borderId="24" xfId="7" applyFont="1" applyBorder="1" applyAlignment="1">
      <alignment horizontal="left" vertical="top" wrapText="1"/>
    </xf>
    <xf numFmtId="0" fontId="26" fillId="23" borderId="23" xfId="7" applyFont="1" applyFill="1" applyBorder="1" applyAlignment="1">
      <alignment horizontal="center" vertical="center"/>
    </xf>
    <xf numFmtId="0" fontId="30" fillId="23" borderId="30" xfId="7" applyFont="1" applyFill="1" applyBorder="1" applyAlignment="1">
      <alignment horizontal="left" vertical="top" wrapText="1"/>
    </xf>
    <xf numFmtId="0" fontId="26" fillId="22" borderId="23" xfId="7" applyFont="1" applyFill="1" applyBorder="1" applyAlignment="1">
      <alignment horizontal="center" vertical="center"/>
    </xf>
    <xf numFmtId="0" fontId="30" fillId="22" borderId="30" xfId="7" applyFont="1" applyFill="1" applyBorder="1" applyAlignment="1">
      <alignment horizontal="left" vertical="top" wrapText="1"/>
    </xf>
    <xf numFmtId="0" fontId="27" fillId="22" borderId="23" xfId="7" applyFont="1" applyFill="1" applyBorder="1" applyAlignment="1">
      <alignment horizontal="center" vertical="center"/>
    </xf>
    <xf numFmtId="0" fontId="26" fillId="12" borderId="23" xfId="7" applyFont="1" applyFill="1" applyBorder="1" applyAlignment="1">
      <alignment horizontal="center" vertical="center"/>
    </xf>
    <xf numFmtId="0" fontId="30" fillId="12" borderId="30" xfId="7" applyFont="1" applyFill="1" applyBorder="1" applyAlignment="1">
      <alignment horizontal="left" vertical="top" wrapText="1"/>
    </xf>
    <xf numFmtId="0" fontId="27" fillId="12" borderId="23" xfId="7" applyFont="1" applyFill="1" applyBorder="1" applyAlignment="1">
      <alignment horizontal="center" vertical="center"/>
    </xf>
    <xf numFmtId="0" fontId="26" fillId="24" borderId="23" xfId="7" applyFont="1" applyFill="1" applyBorder="1" applyAlignment="1">
      <alignment horizontal="center" vertical="center"/>
    </xf>
    <xf numFmtId="0" fontId="30" fillId="24" borderId="30" xfId="7" applyFont="1" applyFill="1" applyBorder="1" applyAlignment="1">
      <alignment horizontal="left" vertical="top" wrapText="1"/>
    </xf>
    <xf numFmtId="0" fontId="26" fillId="0" borderId="29" xfId="7" applyFont="1" applyBorder="1" applyAlignment="1">
      <alignment horizontal="left" vertical="top" wrapText="1"/>
    </xf>
    <xf numFmtId="0" fontId="26" fillId="15" borderId="23" xfId="7" applyFont="1" applyFill="1" applyBorder="1" applyAlignment="1">
      <alignment horizontal="center" vertical="center"/>
    </xf>
    <xf numFmtId="0" fontId="26" fillId="15" borderId="28" xfId="7" applyFont="1" applyFill="1" applyBorder="1" applyAlignment="1">
      <alignment horizontal="left" vertical="top" wrapText="1"/>
    </xf>
    <xf numFmtId="43" fontId="28" fillId="0" borderId="0" xfId="6" applyNumberFormat="1" applyFont="1" applyBorder="1"/>
    <xf numFmtId="16" fontId="28" fillId="0" borderId="14" xfId="6" applyNumberFormat="1" applyFont="1" applyBorder="1" applyAlignment="1">
      <alignment horizontal="center"/>
    </xf>
    <xf numFmtId="0" fontId="29" fillId="0" borderId="1" xfId="6" applyFont="1" applyFill="1" applyBorder="1"/>
    <xf numFmtId="0" fontId="29" fillId="0" borderId="18" xfId="6" applyFont="1" applyFill="1" applyBorder="1"/>
    <xf numFmtId="168" fontId="29" fillId="0" borderId="15" xfId="6" applyNumberFormat="1" applyFont="1" applyFill="1" applyBorder="1"/>
    <xf numFmtId="168" fontId="29" fillId="0" borderId="18" xfId="6" applyNumberFormat="1" applyFont="1" applyBorder="1"/>
    <xf numFmtId="0" fontId="28" fillId="0" borderId="8" xfId="6" applyFont="1" applyBorder="1" applyAlignment="1">
      <alignment horizontal="center"/>
    </xf>
    <xf numFmtId="0" fontId="28" fillId="0" borderId="8" xfId="6" applyFont="1" applyBorder="1"/>
    <xf numFmtId="0" fontId="29" fillId="0" borderId="9" xfId="6" applyFont="1" applyBorder="1" applyAlignment="1">
      <alignment horizontal="center"/>
    </xf>
    <xf numFmtId="0" fontId="28" fillId="0" borderId="4" xfId="6" applyFont="1" applyBorder="1"/>
    <xf numFmtId="0" fontId="28" fillId="0" borderId="19" xfId="6" applyFont="1" applyBorder="1"/>
    <xf numFmtId="0" fontId="29" fillId="0" borderId="10" xfId="6" applyFont="1" applyBorder="1" applyAlignment="1">
      <alignment horizontal="center"/>
    </xf>
    <xf numFmtId="0" fontId="29" fillId="0" borderId="14" xfId="6" applyFont="1" applyBorder="1" applyAlignment="1">
      <alignment horizontal="center" vertical="center"/>
    </xf>
    <xf numFmtId="0" fontId="29" fillId="0" borderId="16" xfId="6" applyFont="1" applyBorder="1" applyAlignment="1">
      <alignment horizontal="center" vertical="center"/>
    </xf>
    <xf numFmtId="0" fontId="29" fillId="0" borderId="17" xfId="6" applyFont="1" applyBorder="1" applyAlignment="1">
      <alignment horizontal="center" vertical="center"/>
    </xf>
    <xf numFmtId="0" fontId="29" fillId="0" borderId="15" xfId="6" applyFont="1" applyBorder="1" applyAlignment="1">
      <alignment horizontal="center" vertical="center"/>
    </xf>
    <xf numFmtId="16" fontId="28" fillId="0" borderId="0" xfId="6" applyNumberFormat="1" applyFont="1" applyBorder="1" applyAlignment="1">
      <alignment horizontal="center"/>
    </xf>
    <xf numFmtId="0" fontId="29" fillId="0" borderId="2" xfId="6" applyFont="1" applyBorder="1"/>
    <xf numFmtId="0" fontId="29" fillId="0" borderId="3" xfId="6" applyFont="1" applyBorder="1"/>
    <xf numFmtId="43" fontId="29" fillId="0" borderId="4" xfId="6" applyNumberFormat="1" applyFont="1" applyBorder="1"/>
    <xf numFmtId="43" fontId="29" fillId="0" borderId="0" xfId="6" applyNumberFormat="1" applyFont="1" applyBorder="1"/>
    <xf numFmtId="0" fontId="29" fillId="8" borderId="2" xfId="6" applyFont="1" applyFill="1" applyBorder="1"/>
    <xf numFmtId="0" fontId="29" fillId="8" borderId="3" xfId="6" applyFont="1" applyFill="1" applyBorder="1"/>
    <xf numFmtId="4" fontId="29" fillId="8" borderId="3" xfId="6" applyNumberFormat="1" applyFont="1" applyFill="1" applyBorder="1"/>
    <xf numFmtId="4" fontId="29" fillId="0" borderId="5" xfId="6" applyNumberFormat="1" applyFont="1" applyFill="1" applyBorder="1"/>
    <xf numFmtId="0" fontId="29" fillId="8" borderId="5" xfId="6" applyFont="1" applyFill="1" applyBorder="1"/>
    <xf numFmtId="0" fontId="29" fillId="8" borderId="0" xfId="6" applyFont="1" applyFill="1" applyBorder="1"/>
    <xf numFmtId="4" fontId="29" fillId="8" borderId="0" xfId="6" applyNumberFormat="1" applyFont="1" applyFill="1" applyBorder="1"/>
    <xf numFmtId="43" fontId="28" fillId="0" borderId="0" xfId="6" applyNumberFormat="1" applyFont="1" applyBorder="1" applyAlignment="1">
      <alignment horizontal="left"/>
    </xf>
    <xf numFmtId="43" fontId="28" fillId="0" borderId="0" xfId="0" applyNumberFormat="1" applyFont="1"/>
    <xf numFmtId="43" fontId="28" fillId="0" borderId="3" xfId="6" applyNumberFormat="1" applyFont="1" applyBorder="1"/>
    <xf numFmtId="167" fontId="28" fillId="0" borderId="0" xfId="6" applyNumberFormat="1" applyFont="1" applyBorder="1" applyAlignment="1">
      <alignment horizontal="center"/>
    </xf>
    <xf numFmtId="4" fontId="27" fillId="8" borderId="0" xfId="4" applyNumberFormat="1" applyFont="1" applyFill="1"/>
    <xf numFmtId="0" fontId="28" fillId="0" borderId="0" xfId="6" applyFont="1" applyBorder="1" applyAlignment="1">
      <alignment horizontal="center"/>
    </xf>
    <xf numFmtId="0" fontId="29" fillId="8" borderId="6" xfId="6" applyFont="1" applyFill="1" applyBorder="1"/>
    <xf numFmtId="0" fontId="29" fillId="8" borderId="7" xfId="6" applyFont="1" applyFill="1" applyBorder="1"/>
    <xf numFmtId="4" fontId="29" fillId="8" borderId="7" xfId="6" applyNumberFormat="1" applyFont="1" applyFill="1" applyBorder="1"/>
    <xf numFmtId="43" fontId="26" fillId="0" borderId="3" xfId="4" applyNumberFormat="1" applyFont="1" applyBorder="1"/>
    <xf numFmtId="164" fontId="28" fillId="0" borderId="0" xfId="6" applyNumberFormat="1" applyFont="1" applyBorder="1"/>
    <xf numFmtId="43" fontId="26" fillId="0" borderId="0" xfId="1" applyFont="1"/>
    <xf numFmtId="43" fontId="27" fillId="0" borderId="20" xfId="4" applyNumberFormat="1" applyFont="1" applyBorder="1"/>
    <xf numFmtId="43" fontId="26" fillId="0" borderId="0" xfId="4" applyNumberFormat="1" applyFont="1"/>
    <xf numFmtId="44" fontId="19" fillId="0" borderId="17" xfId="1" applyNumberFormat="1" applyFont="1" applyBorder="1"/>
    <xf numFmtId="44" fontId="12" fillId="15" borderId="4" xfId="0" applyNumberFormat="1" applyFont="1" applyFill="1" applyBorder="1"/>
    <xf numFmtId="4" fontId="12" fillId="15" borderId="17" xfId="1" applyNumberFormat="1" applyFont="1" applyFill="1" applyBorder="1"/>
    <xf numFmtId="43" fontId="28" fillId="0" borderId="12" xfId="6" applyNumberFormat="1" applyFont="1" applyFill="1" applyBorder="1"/>
    <xf numFmtId="7" fontId="26" fillId="0" borderId="0" xfId="4" applyNumberFormat="1" applyFont="1"/>
    <xf numFmtId="164" fontId="26" fillId="0" borderId="0" xfId="4" applyNumberFormat="1" applyFont="1"/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5" xfId="0" applyFont="1" applyBorder="1" applyAlignment="1"/>
    <xf numFmtId="0" fontId="12" fillId="0" borderId="0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29" fillId="9" borderId="22" xfId="6" applyFont="1" applyFill="1" applyBorder="1" applyAlignment="1">
      <alignment horizontal="center" vertical="center"/>
    </xf>
    <xf numFmtId="0" fontId="29" fillId="9" borderId="10" xfId="6" applyFont="1" applyFill="1" applyBorder="1" applyAlignment="1">
      <alignment horizontal="center" vertical="center"/>
    </xf>
    <xf numFmtId="0" fontId="29" fillId="10" borderId="22" xfId="6" applyFont="1" applyFill="1" applyBorder="1" applyAlignment="1">
      <alignment horizontal="center" vertical="center"/>
    </xf>
    <xf numFmtId="0" fontId="29" fillId="10" borderId="10" xfId="6" applyFont="1" applyFill="1" applyBorder="1" applyAlignment="1">
      <alignment horizontal="center" vertical="center"/>
    </xf>
    <xf numFmtId="0" fontId="29" fillId="11" borderId="5" xfId="6" applyFont="1" applyFill="1" applyBorder="1" applyAlignment="1">
      <alignment horizontal="center"/>
    </xf>
    <xf numFmtId="0" fontId="29" fillId="11" borderId="0" xfId="6" applyFont="1" applyFill="1" applyBorder="1" applyAlignment="1">
      <alignment horizontal="center"/>
    </xf>
    <xf numFmtId="43" fontId="29" fillId="0" borderId="0" xfId="6" applyNumberFormat="1" applyFont="1" applyBorder="1" applyAlignment="1">
      <alignment horizontal="right"/>
    </xf>
    <xf numFmtId="4" fontId="19" fillId="0" borderId="3" xfId="5" applyNumberFormat="1" applyFont="1" applyBorder="1" applyAlignment="1">
      <alignment vertical="center"/>
    </xf>
  </cellXfs>
  <cellStyles count="8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5 2" xfId="7"/>
    <cellStyle name="Normal_Accounts 2002-03 - Period 3" xfId="6"/>
  </cellStyles>
  <dxfs count="8"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zoomScale="130" zoomScaleNormal="130" workbookViewId="0">
      <selection activeCell="A8" sqref="A8:C8"/>
    </sheetView>
  </sheetViews>
  <sheetFormatPr defaultColWidth="8.83203125" defaultRowHeight="12.3" x14ac:dyDescent="0.4"/>
  <cols>
    <col min="1" max="1" width="21.27734375" customWidth="1"/>
    <col min="2" max="2" width="10" customWidth="1"/>
    <col min="3" max="3" width="11.44140625" customWidth="1"/>
    <col min="4" max="4" width="10" customWidth="1"/>
    <col min="5" max="5" width="0.71875" customWidth="1"/>
    <col min="6" max="6" width="13.71875" customWidth="1"/>
    <col min="7" max="7" width="7.83203125" customWidth="1"/>
    <col min="8" max="8" width="10.44140625" customWidth="1"/>
    <col min="9" max="9" width="10.1640625" customWidth="1"/>
    <col min="10" max="10" width="1.44140625" customWidth="1"/>
    <col min="11" max="11" width="10.44140625" customWidth="1"/>
    <col min="12" max="12" width="10.1640625" customWidth="1"/>
    <col min="13" max="13" width="12.71875" customWidth="1"/>
    <col min="14" max="14" width="12.44140625" customWidth="1"/>
    <col min="15" max="15" width="10.44140625" customWidth="1"/>
    <col min="16" max="16" width="10.1640625" customWidth="1"/>
    <col min="17" max="17" width="9.44140625" bestFit="1" customWidth="1"/>
  </cols>
  <sheetData>
    <row r="1" spans="1:19" ht="17.7" x14ac:dyDescent="0.6">
      <c r="A1" s="6" t="s">
        <v>38</v>
      </c>
      <c r="F1" s="12"/>
      <c r="G1" s="7" t="s">
        <v>322</v>
      </c>
      <c r="H1" s="12"/>
    </row>
    <row r="2" spans="1:19" ht="3" customHeight="1" x14ac:dyDescent="0.4"/>
    <row r="3" spans="1:19" x14ac:dyDescent="0.4">
      <c r="A3" s="299" t="s">
        <v>139</v>
      </c>
      <c r="B3" s="300"/>
      <c r="C3" s="301"/>
      <c r="D3" s="5" t="s">
        <v>27</v>
      </c>
      <c r="E3" s="22"/>
      <c r="F3" s="305" t="s">
        <v>34</v>
      </c>
      <c r="G3" s="306"/>
      <c r="H3" s="306"/>
      <c r="I3" s="307"/>
      <c r="J3" s="21"/>
      <c r="K3" s="302" t="s">
        <v>40</v>
      </c>
      <c r="L3" s="303"/>
      <c r="M3" s="303"/>
      <c r="N3" s="304"/>
    </row>
    <row r="4" spans="1:19" ht="12.9" x14ac:dyDescent="0.5">
      <c r="A4" s="309" t="s">
        <v>320</v>
      </c>
      <c r="B4" s="310"/>
      <c r="C4" s="310"/>
      <c r="D4" s="279">
        <v>55.5</v>
      </c>
      <c r="E4" s="23"/>
      <c r="F4" s="24" t="s">
        <v>199</v>
      </c>
      <c r="G4" s="25"/>
      <c r="H4" s="26"/>
      <c r="I4" s="27">
        <v>616.42999999999995</v>
      </c>
      <c r="J4" s="28"/>
      <c r="K4" s="29"/>
      <c r="L4" s="29" t="s">
        <v>7</v>
      </c>
      <c r="M4" s="29" t="s">
        <v>6</v>
      </c>
      <c r="N4" s="29" t="s">
        <v>98</v>
      </c>
    </row>
    <row r="5" spans="1:19" ht="11.1" customHeight="1" x14ac:dyDescent="0.5">
      <c r="A5" s="311" t="s">
        <v>208</v>
      </c>
      <c r="B5" s="312"/>
      <c r="C5" s="312"/>
      <c r="D5" s="59">
        <v>208.37</v>
      </c>
      <c r="E5" s="30"/>
      <c r="F5" s="24" t="s">
        <v>149</v>
      </c>
      <c r="G5" s="25"/>
      <c r="H5" s="26"/>
      <c r="I5" s="31">
        <v>4603.58</v>
      </c>
      <c r="J5" s="28"/>
      <c r="K5" s="32" t="s">
        <v>8</v>
      </c>
      <c r="L5" s="33">
        <v>26646</v>
      </c>
      <c r="M5" s="34">
        <f>Budget!J61</f>
        <v>26863</v>
      </c>
      <c r="N5" s="33">
        <f>SUM(L5)-M5</f>
        <v>-217</v>
      </c>
    </row>
    <row r="6" spans="1:19" ht="11.25" customHeight="1" x14ac:dyDescent="0.5">
      <c r="A6" s="311" t="s">
        <v>209</v>
      </c>
      <c r="B6" s="312"/>
      <c r="C6" s="312"/>
      <c r="D6" s="58">
        <v>348.85</v>
      </c>
      <c r="E6" s="30"/>
      <c r="F6" s="24" t="s">
        <v>39</v>
      </c>
      <c r="G6" s="25"/>
      <c r="H6" s="26"/>
      <c r="I6" s="35"/>
      <c r="J6" s="28"/>
      <c r="K6" s="32" t="s">
        <v>46</v>
      </c>
      <c r="L6" s="33"/>
      <c r="M6" s="33">
        <f>Budget!J63</f>
        <v>3.61</v>
      </c>
      <c r="N6" s="33">
        <f>SUM(L6)-M6</f>
        <v>-3.61</v>
      </c>
    </row>
    <row r="7" spans="1:19" ht="12" customHeight="1" x14ac:dyDescent="0.5">
      <c r="A7" s="311" t="s">
        <v>321</v>
      </c>
      <c r="B7" s="312"/>
      <c r="C7" s="312"/>
      <c r="D7" s="58">
        <v>1000</v>
      </c>
      <c r="E7" s="36"/>
      <c r="F7" s="37" t="s">
        <v>99</v>
      </c>
      <c r="G7" s="38"/>
      <c r="H7" s="38"/>
      <c r="I7" s="39">
        <f>SUM(I4:I6)</f>
        <v>5220.01</v>
      </c>
      <c r="J7" s="28"/>
      <c r="K7" s="32" t="s">
        <v>207</v>
      </c>
      <c r="L7" s="33">
        <v>4446.7</v>
      </c>
      <c r="M7" s="33">
        <f>Budget!J65</f>
        <v>320</v>
      </c>
      <c r="N7" s="33">
        <f>SUM(L7)-M7</f>
        <v>4126.7</v>
      </c>
    </row>
    <row r="8" spans="1:19" ht="12.9" x14ac:dyDescent="0.5">
      <c r="A8" s="311"/>
      <c r="B8" s="312"/>
      <c r="C8" s="312"/>
      <c r="D8" s="59"/>
      <c r="E8" s="36"/>
      <c r="F8" s="24" t="s">
        <v>57</v>
      </c>
      <c r="G8" s="25"/>
      <c r="H8" s="26"/>
      <c r="I8" s="57">
        <v>2491.56</v>
      </c>
      <c r="J8" s="41"/>
      <c r="K8" s="32"/>
      <c r="L8" s="32"/>
      <c r="M8" s="32"/>
      <c r="N8" s="32"/>
      <c r="S8" s="11"/>
    </row>
    <row r="9" spans="1:19" ht="12" customHeight="1" x14ac:dyDescent="0.5">
      <c r="A9" s="311"/>
      <c r="B9" s="312"/>
      <c r="C9" s="312"/>
      <c r="D9" s="59"/>
      <c r="E9" s="36"/>
      <c r="F9" s="24"/>
      <c r="G9" s="25"/>
      <c r="H9" s="26"/>
      <c r="I9" s="39">
        <f>SUM(I7-I8)</f>
        <v>2728.4500000000003</v>
      </c>
      <c r="J9" s="42"/>
      <c r="K9" s="29" t="s">
        <v>0</v>
      </c>
      <c r="L9" s="43">
        <f>SUM(L5:L8)</f>
        <v>31092.7</v>
      </c>
      <c r="M9" s="43">
        <f>SUM(M5:M8)</f>
        <v>27186.61</v>
      </c>
      <c r="N9" s="43">
        <f>SUM(N5:N8)</f>
        <v>3906.0899999999997</v>
      </c>
    </row>
    <row r="10" spans="1:19" ht="12" customHeight="1" x14ac:dyDescent="0.5">
      <c r="A10" s="311"/>
      <c r="B10" s="312"/>
      <c r="C10" s="312"/>
      <c r="D10" s="59"/>
      <c r="E10" s="36"/>
      <c r="F10" s="37" t="s">
        <v>35</v>
      </c>
      <c r="G10" s="25"/>
      <c r="H10" s="26"/>
      <c r="I10" s="40">
        <f>Cashbook!F161</f>
        <v>31832.71</v>
      </c>
      <c r="J10" s="42"/>
      <c r="K10" s="42"/>
      <c r="L10" s="38"/>
      <c r="M10" s="38"/>
      <c r="N10" s="38"/>
    </row>
    <row r="11" spans="1:19" ht="12" customHeight="1" x14ac:dyDescent="0.5">
      <c r="A11" s="311"/>
      <c r="B11" s="312"/>
      <c r="C11" s="312"/>
      <c r="D11" s="59"/>
      <c r="E11" s="36"/>
      <c r="F11" s="37" t="s">
        <v>193</v>
      </c>
      <c r="G11" s="25"/>
      <c r="H11" s="26"/>
      <c r="I11" s="56">
        <f>SUM(Cashbook!G154,Cashbook!H154)</f>
        <v>16349.059999999998</v>
      </c>
      <c r="J11" s="44"/>
      <c r="K11" s="44"/>
      <c r="L11" s="38"/>
      <c r="M11" s="38"/>
      <c r="N11" s="38"/>
    </row>
    <row r="12" spans="1:19" ht="12" customHeight="1" x14ac:dyDescent="0.5">
      <c r="A12" s="311"/>
      <c r="B12" s="312"/>
      <c r="C12" s="312"/>
      <c r="D12" s="60"/>
      <c r="E12" s="36"/>
      <c r="F12" s="37" t="s">
        <v>36</v>
      </c>
      <c r="G12" s="25"/>
      <c r="H12" s="26"/>
      <c r="I12" s="57"/>
      <c r="J12" s="44"/>
      <c r="K12" s="44"/>
      <c r="L12" s="38"/>
      <c r="M12" s="38"/>
      <c r="N12" s="38"/>
    </row>
    <row r="13" spans="1:19" ht="12" customHeight="1" x14ac:dyDescent="0.5">
      <c r="A13" s="311"/>
      <c r="B13" s="312"/>
      <c r="C13" s="312"/>
      <c r="D13" s="60"/>
      <c r="E13" s="36"/>
      <c r="F13" s="45" t="s">
        <v>37</v>
      </c>
      <c r="G13" s="46"/>
      <c r="H13" s="47"/>
      <c r="I13" s="48">
        <f>SUM(I9+I10-I11-I12)</f>
        <v>18212.099999999999</v>
      </c>
      <c r="J13" s="44"/>
      <c r="K13" s="44"/>
      <c r="L13" s="38"/>
      <c r="M13" s="38"/>
      <c r="N13" s="38"/>
    </row>
    <row r="14" spans="1:19" ht="12.9" x14ac:dyDescent="0.5">
      <c r="A14" s="313"/>
      <c r="B14" s="314"/>
      <c r="C14" s="314"/>
      <c r="D14" s="280"/>
      <c r="E14" s="49"/>
      <c r="F14" s="44"/>
      <c r="G14" s="44"/>
      <c r="H14" s="44"/>
      <c r="I14" s="44"/>
      <c r="J14" s="44"/>
      <c r="K14" s="44"/>
      <c r="L14" s="38"/>
      <c r="M14" s="38"/>
      <c r="N14" s="38"/>
    </row>
    <row r="15" spans="1:19" ht="12.75" customHeight="1" x14ac:dyDescent="0.5">
      <c r="A15" s="45"/>
      <c r="B15" s="46"/>
      <c r="C15" s="46"/>
      <c r="D15" s="278">
        <f>SUM(D4:D14)</f>
        <v>1612.72</v>
      </c>
      <c r="E15" s="50"/>
      <c r="F15" s="44"/>
      <c r="G15" s="44"/>
      <c r="H15" s="44"/>
      <c r="I15" s="44"/>
      <c r="J15" s="44"/>
      <c r="K15" s="44"/>
      <c r="L15" s="38"/>
      <c r="M15" s="38"/>
      <c r="N15" s="38"/>
    </row>
    <row r="16" spans="1:19" ht="4.5" customHeight="1" x14ac:dyDescent="0.5">
      <c r="A16" s="5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38"/>
      <c r="M16" s="38"/>
      <c r="N16" s="38"/>
    </row>
    <row r="17" spans="1:17" ht="12.9" x14ac:dyDescent="0.5">
      <c r="A17" s="308" t="s">
        <v>30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</row>
    <row r="18" spans="1:17" ht="12.9" x14ac:dyDescent="0.5">
      <c r="A18" s="52" t="s">
        <v>29</v>
      </c>
      <c r="B18" s="53" t="s">
        <v>9</v>
      </c>
      <c r="C18" s="53" t="s">
        <v>32</v>
      </c>
      <c r="D18" s="53" t="s">
        <v>31</v>
      </c>
      <c r="E18" s="53"/>
      <c r="F18" s="53" t="s">
        <v>97</v>
      </c>
      <c r="G18" s="284" t="s">
        <v>33</v>
      </c>
      <c r="H18" s="285"/>
      <c r="I18" s="285"/>
      <c r="J18" s="285"/>
      <c r="K18" s="285"/>
      <c r="L18" s="285"/>
      <c r="M18" s="285"/>
      <c r="N18" s="286"/>
    </row>
    <row r="19" spans="1:17" ht="12.9" x14ac:dyDescent="0.5">
      <c r="A19" s="33" t="s">
        <v>95</v>
      </c>
      <c r="B19" s="322">
        <f>Budget!I10</f>
        <v>3500</v>
      </c>
      <c r="C19" s="54"/>
      <c r="D19" s="322">
        <f>Budget!J10</f>
        <v>2209.59</v>
      </c>
      <c r="E19" s="54"/>
      <c r="F19" s="54">
        <f>SUM(B19)-SUM(C19:D19)</f>
        <v>1290.4099999999999</v>
      </c>
      <c r="G19" s="296"/>
      <c r="H19" s="297"/>
      <c r="I19" s="297"/>
      <c r="J19" s="297"/>
      <c r="K19" s="297"/>
      <c r="L19" s="297"/>
      <c r="M19" s="297"/>
      <c r="N19" s="298"/>
    </row>
    <row r="20" spans="1:17" ht="12.9" x14ac:dyDescent="0.5">
      <c r="A20" s="33" t="s">
        <v>12</v>
      </c>
      <c r="B20" s="55">
        <f>Budget!I23</f>
        <v>11410</v>
      </c>
      <c r="C20" s="54"/>
      <c r="D20" s="55">
        <f>Budget!J23</f>
        <v>6866.1900000000005</v>
      </c>
      <c r="E20" s="54"/>
      <c r="F20" s="54">
        <f t="shared" ref="F20:F25" si="0">SUM(B20)-SUM(C20:D20)</f>
        <v>4543.8099999999995</v>
      </c>
      <c r="G20" s="296"/>
      <c r="H20" s="297"/>
      <c r="I20" s="297"/>
      <c r="J20" s="297"/>
      <c r="K20" s="297"/>
      <c r="L20" s="297"/>
      <c r="M20" s="297"/>
      <c r="N20" s="298"/>
    </row>
    <row r="21" spans="1:17" ht="12.9" x14ac:dyDescent="0.5">
      <c r="A21" s="33" t="s">
        <v>13</v>
      </c>
      <c r="B21" s="55">
        <f>Budget!I28</f>
        <v>4600</v>
      </c>
      <c r="C21" s="54"/>
      <c r="D21" s="55">
        <f>Budget!J28</f>
        <v>2870</v>
      </c>
      <c r="E21" s="54"/>
      <c r="F21" s="54">
        <f t="shared" si="0"/>
        <v>1730</v>
      </c>
      <c r="G21" s="296"/>
      <c r="H21" s="297"/>
      <c r="I21" s="297"/>
      <c r="J21" s="297"/>
      <c r="K21" s="297"/>
      <c r="L21" s="297"/>
      <c r="M21" s="297"/>
      <c r="N21" s="298"/>
    </row>
    <row r="22" spans="1:17" ht="12.9" x14ac:dyDescent="0.5">
      <c r="A22" s="33" t="s">
        <v>15</v>
      </c>
      <c r="B22" s="55">
        <f>Budget!I42</f>
        <v>7075</v>
      </c>
      <c r="C22" s="54"/>
      <c r="D22" s="54">
        <f>Budget!J42</f>
        <v>2721.21</v>
      </c>
      <c r="E22" s="54"/>
      <c r="F22" s="54">
        <f t="shared" si="0"/>
        <v>4353.79</v>
      </c>
      <c r="G22" s="296"/>
      <c r="H22" s="297"/>
      <c r="I22" s="297"/>
      <c r="J22" s="297"/>
      <c r="K22" s="297"/>
      <c r="L22" s="297"/>
      <c r="M22" s="297"/>
      <c r="N22" s="298"/>
    </row>
    <row r="23" spans="1:17" ht="12.9" x14ac:dyDescent="0.5">
      <c r="A23" s="33" t="s">
        <v>10</v>
      </c>
      <c r="B23" s="55">
        <f>Budget!I51</f>
        <v>550</v>
      </c>
      <c r="C23" s="54"/>
      <c r="D23" s="54">
        <f>Budget!J51</f>
        <v>84</v>
      </c>
      <c r="E23" s="54"/>
      <c r="F23" s="54">
        <f t="shared" si="0"/>
        <v>466</v>
      </c>
      <c r="G23" s="296"/>
      <c r="H23" s="297"/>
      <c r="I23" s="297"/>
      <c r="J23" s="297"/>
      <c r="K23" s="297"/>
      <c r="L23" s="297"/>
      <c r="M23" s="297"/>
      <c r="N23" s="298"/>
    </row>
    <row r="24" spans="1:17" ht="12.9" x14ac:dyDescent="0.5">
      <c r="A24" s="33" t="s">
        <v>96</v>
      </c>
      <c r="B24" s="55">
        <f>Budget!I55</f>
        <v>650</v>
      </c>
      <c r="C24" s="54"/>
      <c r="D24" s="54">
        <f>Budget!J55</f>
        <v>435</v>
      </c>
      <c r="E24" s="54"/>
      <c r="F24" s="54">
        <f t="shared" si="0"/>
        <v>215</v>
      </c>
      <c r="G24" s="296"/>
      <c r="H24" s="297"/>
      <c r="I24" s="297"/>
      <c r="J24" s="297"/>
      <c r="K24" s="297"/>
      <c r="L24" s="297"/>
      <c r="M24" s="297"/>
      <c r="N24" s="298"/>
    </row>
    <row r="25" spans="1:17" ht="12.9" x14ac:dyDescent="0.5">
      <c r="A25" s="33" t="s">
        <v>192</v>
      </c>
      <c r="B25" s="55">
        <f>D25</f>
        <v>1163.0700000000004</v>
      </c>
      <c r="C25" s="54"/>
      <c r="D25" s="54">
        <f>Cashbook!H154</f>
        <v>1163.0700000000004</v>
      </c>
      <c r="E25" s="54"/>
      <c r="F25" s="54">
        <f t="shared" si="0"/>
        <v>0</v>
      </c>
      <c r="G25" s="296"/>
      <c r="H25" s="297"/>
      <c r="I25" s="297"/>
      <c r="J25" s="297"/>
      <c r="K25" s="297"/>
      <c r="L25" s="297"/>
      <c r="M25" s="297"/>
      <c r="N25" s="298"/>
    </row>
    <row r="26" spans="1:17" ht="12.9" x14ac:dyDescent="0.5">
      <c r="A26" s="33" t="s">
        <v>169</v>
      </c>
      <c r="B26" s="55"/>
      <c r="C26" s="54"/>
      <c r="D26" s="54"/>
      <c r="E26" s="54"/>
      <c r="F26" s="54"/>
      <c r="G26" s="296"/>
      <c r="H26" s="297"/>
      <c r="I26" s="297"/>
      <c r="J26" s="297"/>
      <c r="K26" s="297"/>
      <c r="L26" s="297"/>
      <c r="M26" s="297"/>
      <c r="N26" s="298"/>
      <c r="Q26" s="20"/>
    </row>
    <row r="27" spans="1:17" ht="4.5" customHeight="1" x14ac:dyDescent="0.5">
      <c r="A27" s="33"/>
      <c r="B27" s="55"/>
      <c r="C27" s="54"/>
      <c r="D27" s="54"/>
      <c r="E27" s="54"/>
      <c r="F27" s="54"/>
      <c r="G27" s="284"/>
      <c r="H27" s="285"/>
      <c r="I27" s="285"/>
      <c r="J27" s="285"/>
      <c r="K27" s="285"/>
      <c r="L27" s="285"/>
      <c r="M27" s="285"/>
      <c r="N27" s="286"/>
    </row>
    <row r="28" spans="1:17" ht="12.9" x14ac:dyDescent="0.5">
      <c r="A28" s="29" t="s">
        <v>0</v>
      </c>
      <c r="B28" s="55">
        <f>SUM(B19:B27)</f>
        <v>28948.07</v>
      </c>
      <c r="C28" s="55">
        <f>SUM(C19:C27)</f>
        <v>0</v>
      </c>
      <c r="D28" s="55">
        <f>SUM(D19:D27)</f>
        <v>16349.060000000001</v>
      </c>
      <c r="E28" s="55"/>
      <c r="F28" s="55">
        <f>SUM(F19:F27)</f>
        <v>12599.009999999998</v>
      </c>
      <c r="G28" s="284"/>
      <c r="H28" s="285"/>
      <c r="I28" s="285"/>
      <c r="J28" s="285"/>
      <c r="K28" s="285"/>
      <c r="L28" s="285"/>
      <c r="M28" s="285"/>
      <c r="N28" s="286"/>
    </row>
    <row r="29" spans="1:17" ht="7.5" customHeight="1" x14ac:dyDescent="0.4"/>
    <row r="30" spans="1:17" x14ac:dyDescent="0.4">
      <c r="A30" s="287" t="s">
        <v>140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9"/>
    </row>
    <row r="31" spans="1:17" x14ac:dyDescent="0.4">
      <c r="A31" s="290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2"/>
    </row>
    <row r="32" spans="1:17" x14ac:dyDescent="0.4">
      <c r="A32" s="290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2"/>
    </row>
    <row r="33" spans="1:14" x14ac:dyDescent="0.4">
      <c r="A33" s="290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2"/>
    </row>
    <row r="34" spans="1:14" x14ac:dyDescent="0.4">
      <c r="A34" s="290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2"/>
    </row>
    <row r="35" spans="1:14" x14ac:dyDescent="0.4">
      <c r="A35" s="290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2"/>
    </row>
    <row r="36" spans="1:14" x14ac:dyDescent="0.4">
      <c r="A36" s="290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2"/>
    </row>
    <row r="37" spans="1:14" x14ac:dyDescent="0.4">
      <c r="A37" s="290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2"/>
    </row>
    <row r="38" spans="1:14" x14ac:dyDescent="0.4">
      <c r="A38" s="290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2"/>
    </row>
    <row r="39" spans="1:14" x14ac:dyDescent="0.4">
      <c r="A39" s="290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2"/>
    </row>
    <row r="40" spans="1:14" x14ac:dyDescent="0.4">
      <c r="A40" s="293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5"/>
    </row>
    <row r="44" spans="1:14" ht="12" customHeight="1" x14ac:dyDescent="0.4"/>
  </sheetData>
  <mergeCells count="27">
    <mergeCell ref="G20:N20"/>
    <mergeCell ref="A4:C4"/>
    <mergeCell ref="G19:N19"/>
    <mergeCell ref="A5:C5"/>
    <mergeCell ref="A8:C8"/>
    <mergeCell ref="A9:C9"/>
    <mergeCell ref="A11:C11"/>
    <mergeCell ref="A12:C12"/>
    <mergeCell ref="A13:C13"/>
    <mergeCell ref="A6:C6"/>
    <mergeCell ref="A7:C7"/>
    <mergeCell ref="A10:C10"/>
    <mergeCell ref="A14:C14"/>
    <mergeCell ref="A3:C3"/>
    <mergeCell ref="K3:N3"/>
    <mergeCell ref="F3:I3"/>
    <mergeCell ref="G18:N18"/>
    <mergeCell ref="A17:N17"/>
    <mergeCell ref="G27:N27"/>
    <mergeCell ref="G28:N28"/>
    <mergeCell ref="A30:N40"/>
    <mergeCell ref="G21:N21"/>
    <mergeCell ref="G22:N22"/>
    <mergeCell ref="G23:N23"/>
    <mergeCell ref="G24:N24"/>
    <mergeCell ref="G26:N26"/>
    <mergeCell ref="G25:N25"/>
  </mergeCells>
  <phoneticPr fontId="6" type="noConversion"/>
  <conditionalFormatting sqref="F19:F26">
    <cfRule type="cellIs" dxfId="7" priority="1" stopIfTrue="1" operator="lessThan">
      <formula>0</formula>
    </cfRule>
  </conditionalFormatting>
  <pageMargins left="7.874015748031496E-2" right="7.874015748031496E-2" top="7.874015748031496E-2" bottom="7.874015748031496E-2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6"/>
  <sheetViews>
    <sheetView zoomScale="89" zoomScaleNormal="89" workbookViewId="0">
      <pane xSplit="6" ySplit="5" topLeftCell="G60" activePane="bottomRight" state="frozen"/>
      <selection pane="topRight" activeCell="H1" sqref="H1"/>
      <selection pane="bottomLeft" activeCell="A6" sqref="A6"/>
      <selection pane="bottomRight" activeCell="M168" sqref="M168"/>
    </sheetView>
  </sheetViews>
  <sheetFormatPr defaultColWidth="1.1640625" defaultRowHeight="14.4" x14ac:dyDescent="0.55000000000000004"/>
  <cols>
    <col min="1" max="1" width="1.1640625" style="185" customWidth="1"/>
    <col min="2" max="3" width="9" style="185" customWidth="1"/>
    <col min="4" max="4" width="32.1640625" style="185" customWidth="1"/>
    <col min="5" max="5" width="10.71875" style="185" customWidth="1"/>
    <col min="6" max="6" width="13.71875" style="185" customWidth="1"/>
    <col min="7" max="7" width="11.1640625" style="185" customWidth="1"/>
    <col min="8" max="8" width="9.27734375" style="185" customWidth="1"/>
    <col min="9" max="9" width="14.5546875" style="185" bestFit="1" customWidth="1"/>
    <col min="10" max="10" width="9.1640625" style="185" customWidth="1"/>
    <col min="11" max="11" width="12.83203125" style="185" customWidth="1"/>
    <col min="12" max="12" width="3.1640625" style="185" customWidth="1"/>
    <col min="13" max="13" width="28.44140625" style="185" customWidth="1"/>
    <col min="14" max="14" width="9.1640625" style="185" customWidth="1"/>
    <col min="15" max="15" width="14.5546875" style="185" hidden="1" customWidth="1"/>
    <col min="16" max="221" width="9.1640625" style="185" customWidth="1"/>
    <col min="222" max="16384" width="1.1640625" style="185"/>
  </cols>
  <sheetData>
    <row r="1" spans="1:15" x14ac:dyDescent="0.55000000000000004">
      <c r="A1" s="193"/>
      <c r="B1" s="194"/>
      <c r="C1" s="194"/>
      <c r="D1" s="194"/>
      <c r="E1" s="194"/>
      <c r="F1" s="194"/>
      <c r="G1" s="194"/>
      <c r="H1" s="194"/>
    </row>
    <row r="2" spans="1:15" x14ac:dyDescent="0.55000000000000004">
      <c r="A2" s="193"/>
      <c r="B2" s="319" t="s">
        <v>194</v>
      </c>
      <c r="C2" s="320"/>
      <c r="D2" s="320"/>
      <c r="E2" s="320"/>
      <c r="F2" s="320"/>
      <c r="G2" s="320"/>
      <c r="H2" s="320"/>
      <c r="I2" s="195"/>
      <c r="J2" s="195"/>
      <c r="K2" s="195"/>
      <c r="L2" s="195"/>
      <c r="M2" s="195"/>
    </row>
    <row r="3" spans="1:15" x14ac:dyDescent="0.55000000000000004">
      <c r="A3" s="193"/>
      <c r="B3" s="196"/>
      <c r="C3" s="196"/>
      <c r="D3" s="197"/>
      <c r="E3" s="197"/>
      <c r="F3" s="197"/>
      <c r="G3" s="197"/>
      <c r="H3" s="198"/>
    </row>
    <row r="4" spans="1:15" x14ac:dyDescent="0.55000000000000004">
      <c r="A4" s="193"/>
      <c r="B4" s="317" t="s">
        <v>28</v>
      </c>
      <c r="C4" s="318"/>
      <c r="D4" s="318"/>
      <c r="E4" s="318"/>
      <c r="F4" s="199" t="s">
        <v>5</v>
      </c>
      <c r="G4" s="315" t="s">
        <v>4</v>
      </c>
      <c r="H4" s="316"/>
      <c r="I4" s="186" t="s">
        <v>166</v>
      </c>
      <c r="J4" s="186" t="s">
        <v>156</v>
      </c>
    </row>
    <row r="5" spans="1:15" ht="28.8" x14ac:dyDescent="0.55000000000000004">
      <c r="A5" s="193"/>
      <c r="B5" s="200" t="s">
        <v>42</v>
      </c>
      <c r="C5" s="200" t="s">
        <v>59</v>
      </c>
      <c r="D5" s="200" t="s">
        <v>43</v>
      </c>
      <c r="E5" s="201" t="s">
        <v>60</v>
      </c>
      <c r="F5" s="202" t="s">
        <v>45</v>
      </c>
      <c r="G5" s="201" t="s">
        <v>195</v>
      </c>
      <c r="H5" s="203" t="s">
        <v>48</v>
      </c>
      <c r="I5" s="186"/>
      <c r="J5" s="186"/>
    </row>
    <row r="6" spans="1:15" x14ac:dyDescent="0.55000000000000004">
      <c r="A6" s="193"/>
      <c r="D6" s="205" t="s">
        <v>49</v>
      </c>
      <c r="E6" s="206"/>
      <c r="F6" s="207">
        <v>2728.45</v>
      </c>
      <c r="G6" s="208"/>
      <c r="H6" s="209"/>
      <c r="J6" s="185">
        <v>1</v>
      </c>
      <c r="L6" s="210"/>
      <c r="M6" s="211" t="s">
        <v>92</v>
      </c>
      <c r="O6" s="185" t="s">
        <v>159</v>
      </c>
    </row>
    <row r="7" spans="1:15" x14ac:dyDescent="0.55000000000000004">
      <c r="A7" s="193"/>
      <c r="B7" s="204">
        <v>43206</v>
      </c>
      <c r="C7" s="204" t="s">
        <v>200</v>
      </c>
      <c r="D7" s="212" t="s">
        <v>201</v>
      </c>
      <c r="E7" s="213" t="s">
        <v>202</v>
      </c>
      <c r="F7" s="214"/>
      <c r="G7" s="208">
        <v>23.5</v>
      </c>
      <c r="H7" s="209">
        <v>4.7</v>
      </c>
      <c r="I7" s="185" t="s">
        <v>203</v>
      </c>
      <c r="J7" s="185">
        <v>4</v>
      </c>
      <c r="L7" s="210">
        <v>1</v>
      </c>
      <c r="M7" s="215" t="s">
        <v>151</v>
      </c>
      <c r="O7" s="187" t="s">
        <v>12</v>
      </c>
    </row>
    <row r="8" spans="1:15" x14ac:dyDescent="0.55000000000000004">
      <c r="A8" s="193"/>
      <c r="B8" s="204">
        <v>43206</v>
      </c>
      <c r="C8" s="204" t="s">
        <v>205</v>
      </c>
      <c r="D8" s="212" t="s">
        <v>8</v>
      </c>
      <c r="E8" s="213" t="s">
        <v>206</v>
      </c>
      <c r="F8" s="214">
        <v>20148</v>
      </c>
      <c r="G8" s="208"/>
      <c r="H8" s="209"/>
      <c r="I8" s="185" t="s">
        <v>5</v>
      </c>
      <c r="J8" s="185">
        <v>1</v>
      </c>
      <c r="L8" s="210">
        <v>2</v>
      </c>
      <c r="M8" s="216" t="s">
        <v>93</v>
      </c>
      <c r="O8" s="187" t="s">
        <v>157</v>
      </c>
    </row>
    <row r="9" spans="1:15" x14ac:dyDescent="0.55000000000000004">
      <c r="A9" s="193"/>
      <c r="B9" s="204">
        <v>43241</v>
      </c>
      <c r="C9" s="204" t="s">
        <v>210</v>
      </c>
      <c r="D9" s="212" t="s">
        <v>211</v>
      </c>
      <c r="E9" s="213" t="s">
        <v>206</v>
      </c>
      <c r="F9" s="214"/>
      <c r="G9" s="208">
        <v>135</v>
      </c>
      <c r="H9" s="209"/>
      <c r="I9" s="185" t="s">
        <v>162</v>
      </c>
      <c r="J9" s="185">
        <v>1</v>
      </c>
      <c r="L9" s="210">
        <v>3</v>
      </c>
      <c r="M9" s="216" t="s">
        <v>145</v>
      </c>
      <c r="O9" s="187" t="s">
        <v>158</v>
      </c>
    </row>
    <row r="10" spans="1:15" x14ac:dyDescent="0.55000000000000004">
      <c r="A10" s="193"/>
      <c r="B10" s="204">
        <v>43241</v>
      </c>
      <c r="C10" s="204" t="s">
        <v>212</v>
      </c>
      <c r="D10" s="212" t="s">
        <v>213</v>
      </c>
      <c r="E10" s="213" t="s">
        <v>206</v>
      </c>
      <c r="F10" s="214"/>
      <c r="G10" s="208">
        <v>80</v>
      </c>
      <c r="H10" s="209"/>
      <c r="I10" s="185" t="s">
        <v>13</v>
      </c>
      <c r="J10" s="185">
        <v>1</v>
      </c>
      <c r="L10" s="210">
        <v>4</v>
      </c>
      <c r="M10" s="217" t="s">
        <v>180</v>
      </c>
      <c r="O10" s="187" t="s">
        <v>13</v>
      </c>
    </row>
    <row r="11" spans="1:15" x14ac:dyDescent="0.55000000000000004">
      <c r="A11" s="193"/>
      <c r="B11" s="204">
        <v>43241</v>
      </c>
      <c r="C11" s="204" t="s">
        <v>214</v>
      </c>
      <c r="D11" s="212" t="s">
        <v>215</v>
      </c>
      <c r="E11" s="213" t="s">
        <v>206</v>
      </c>
      <c r="F11" s="214"/>
      <c r="G11" s="208">
        <v>353</v>
      </c>
      <c r="H11" s="209"/>
      <c r="I11" s="185" t="s">
        <v>203</v>
      </c>
      <c r="J11" s="185">
        <v>1</v>
      </c>
      <c r="L11" s="210">
        <v>5</v>
      </c>
      <c r="M11" s="217" t="s">
        <v>181</v>
      </c>
      <c r="O11" s="187" t="s">
        <v>10</v>
      </c>
    </row>
    <row r="12" spans="1:15" ht="29.1" thickBot="1" x14ac:dyDescent="0.6">
      <c r="A12" s="193"/>
      <c r="B12" s="204">
        <v>43241</v>
      </c>
      <c r="C12" s="204" t="s">
        <v>216</v>
      </c>
      <c r="D12" s="212" t="s">
        <v>217</v>
      </c>
      <c r="E12" s="213" t="s">
        <v>206</v>
      </c>
      <c r="F12" s="214"/>
      <c r="G12" s="208">
        <v>43.8</v>
      </c>
      <c r="H12" s="209"/>
      <c r="I12" s="185" t="s">
        <v>203</v>
      </c>
      <c r="J12" s="185">
        <v>1</v>
      </c>
      <c r="L12" s="210">
        <v>6</v>
      </c>
      <c r="M12" s="218" t="s">
        <v>152</v>
      </c>
      <c r="O12" s="187" t="s">
        <v>162</v>
      </c>
    </row>
    <row r="13" spans="1:15" x14ac:dyDescent="0.55000000000000004">
      <c r="A13" s="193"/>
      <c r="B13" s="204">
        <v>43241</v>
      </c>
      <c r="C13" s="204" t="s">
        <v>218</v>
      </c>
      <c r="D13" s="212" t="s">
        <v>219</v>
      </c>
      <c r="E13" s="213" t="s">
        <v>206</v>
      </c>
      <c r="F13" s="214"/>
      <c r="G13" s="208">
        <v>95</v>
      </c>
      <c r="H13" s="209"/>
      <c r="I13" s="185" t="s">
        <v>203</v>
      </c>
      <c r="J13" s="185">
        <v>7</v>
      </c>
      <c r="L13" s="219"/>
      <c r="M13" s="220" t="s">
        <v>91</v>
      </c>
      <c r="O13" s="187" t="s">
        <v>5</v>
      </c>
    </row>
    <row r="14" spans="1:15" x14ac:dyDescent="0.55000000000000004">
      <c r="A14" s="193"/>
      <c r="B14" s="204">
        <v>43241</v>
      </c>
      <c r="C14" s="204" t="s">
        <v>220</v>
      </c>
      <c r="D14" s="212" t="s">
        <v>204</v>
      </c>
      <c r="E14" s="213" t="s">
        <v>206</v>
      </c>
      <c r="F14" s="214"/>
      <c r="G14" s="208">
        <v>500</v>
      </c>
      <c r="H14" s="209"/>
      <c r="I14" s="185" t="s">
        <v>13</v>
      </c>
      <c r="J14" s="185">
        <v>1</v>
      </c>
      <c r="L14" s="219">
        <v>1</v>
      </c>
      <c r="M14" s="221" t="s">
        <v>114</v>
      </c>
      <c r="O14" s="187"/>
    </row>
    <row r="15" spans="1:15" x14ac:dyDescent="0.55000000000000004">
      <c r="A15" s="193"/>
      <c r="B15" s="204">
        <v>43241</v>
      </c>
      <c r="C15" s="204" t="s">
        <v>221</v>
      </c>
      <c r="D15" s="212" t="s">
        <v>222</v>
      </c>
      <c r="E15" s="213" t="s">
        <v>206</v>
      </c>
      <c r="F15" s="214"/>
      <c r="G15" s="208">
        <v>320.87</v>
      </c>
      <c r="H15" s="209"/>
      <c r="I15" s="185" t="s">
        <v>12</v>
      </c>
      <c r="J15" s="185">
        <v>5</v>
      </c>
      <c r="L15" s="219">
        <v>2</v>
      </c>
      <c r="M15" s="216" t="s">
        <v>115</v>
      </c>
    </row>
    <row r="16" spans="1:15" x14ac:dyDescent="0.55000000000000004">
      <c r="A16" s="193"/>
      <c r="B16" s="204">
        <v>43241</v>
      </c>
      <c r="C16" s="204" t="s">
        <v>223</v>
      </c>
      <c r="D16" s="212" t="s">
        <v>224</v>
      </c>
      <c r="E16" s="213" t="s">
        <v>206</v>
      </c>
      <c r="F16" s="214"/>
      <c r="G16" s="208">
        <v>2442.8000000000002</v>
      </c>
      <c r="H16" s="209">
        <v>488.56</v>
      </c>
      <c r="I16" s="185" t="s">
        <v>12</v>
      </c>
      <c r="J16" s="185">
        <v>10</v>
      </c>
      <c r="L16" s="219">
        <v>3</v>
      </c>
      <c r="M16" s="216" t="s">
        <v>116</v>
      </c>
      <c r="O16" s="185" t="s">
        <v>160</v>
      </c>
    </row>
    <row r="17" spans="1:15" x14ac:dyDescent="0.55000000000000004">
      <c r="A17" s="193"/>
      <c r="B17" s="204">
        <v>43241</v>
      </c>
      <c r="C17" s="204" t="s">
        <v>225</v>
      </c>
      <c r="D17" s="212" t="s">
        <v>224</v>
      </c>
      <c r="E17" s="213" t="s">
        <v>206</v>
      </c>
      <c r="F17" s="214"/>
      <c r="G17" s="208">
        <v>828.75</v>
      </c>
      <c r="H17" s="209">
        <v>165.75</v>
      </c>
      <c r="I17" s="185" t="s">
        <v>12</v>
      </c>
      <c r="J17" s="185">
        <v>10</v>
      </c>
      <c r="L17" s="219">
        <v>4</v>
      </c>
      <c r="M17" s="216" t="s">
        <v>117</v>
      </c>
      <c r="O17" s="185">
        <v>1</v>
      </c>
    </row>
    <row r="18" spans="1:15" x14ac:dyDescent="0.55000000000000004">
      <c r="A18" s="193"/>
      <c r="B18" s="204">
        <v>43241</v>
      </c>
      <c r="C18" s="204" t="s">
        <v>226</v>
      </c>
      <c r="D18" s="212" t="s">
        <v>227</v>
      </c>
      <c r="E18" s="213" t="s">
        <v>228</v>
      </c>
      <c r="F18" s="214"/>
      <c r="G18" s="208">
        <v>50.85</v>
      </c>
      <c r="H18" s="209"/>
      <c r="I18" s="185" t="s">
        <v>12</v>
      </c>
      <c r="J18" s="185">
        <v>2</v>
      </c>
      <c r="L18" s="219">
        <v>5</v>
      </c>
      <c r="M18" s="216" t="s">
        <v>118</v>
      </c>
      <c r="O18" s="185">
        <v>2</v>
      </c>
    </row>
    <row r="19" spans="1:15" x14ac:dyDescent="0.55000000000000004">
      <c r="A19" s="193"/>
      <c r="B19" s="204">
        <v>43236</v>
      </c>
      <c r="C19" s="204" t="s">
        <v>229</v>
      </c>
      <c r="D19" s="212" t="s">
        <v>201</v>
      </c>
      <c r="E19" s="213" t="s">
        <v>202</v>
      </c>
      <c r="F19" s="214"/>
      <c r="G19" s="208">
        <v>23.5</v>
      </c>
      <c r="H19" s="209">
        <v>4.7</v>
      </c>
      <c r="I19" s="185" t="s">
        <v>203</v>
      </c>
      <c r="J19" s="185">
        <v>4</v>
      </c>
      <c r="L19" s="219">
        <v>6</v>
      </c>
      <c r="M19" s="216" t="s">
        <v>128</v>
      </c>
      <c r="O19" s="185">
        <v>3</v>
      </c>
    </row>
    <row r="20" spans="1:15" x14ac:dyDescent="0.55000000000000004">
      <c r="A20" s="193"/>
      <c r="B20" s="204">
        <v>43234</v>
      </c>
      <c r="C20" s="204" t="s">
        <v>231</v>
      </c>
      <c r="D20" s="212" t="s">
        <v>232</v>
      </c>
      <c r="E20" s="213" t="s">
        <v>206</v>
      </c>
      <c r="F20" s="214"/>
      <c r="G20" s="208">
        <v>12.5</v>
      </c>
      <c r="H20" s="209"/>
      <c r="I20" s="185" t="s">
        <v>203</v>
      </c>
      <c r="J20" s="185">
        <v>7</v>
      </c>
      <c r="L20" s="219">
        <v>7</v>
      </c>
      <c r="M20" s="216" t="s">
        <v>129</v>
      </c>
      <c r="O20" s="185">
        <v>4</v>
      </c>
    </row>
    <row r="21" spans="1:15" x14ac:dyDescent="0.55000000000000004">
      <c r="A21" s="193"/>
      <c r="B21" s="204">
        <v>43251</v>
      </c>
      <c r="C21" s="204" t="s">
        <v>233</v>
      </c>
      <c r="D21" s="212" t="s">
        <v>234</v>
      </c>
      <c r="E21" s="213" t="s">
        <v>206</v>
      </c>
      <c r="F21" s="214"/>
      <c r="G21" s="208">
        <v>29.99</v>
      </c>
      <c r="H21" s="209">
        <v>6</v>
      </c>
      <c r="I21" s="185" t="s">
        <v>12</v>
      </c>
      <c r="J21" s="185">
        <v>2</v>
      </c>
      <c r="L21" s="219">
        <v>8</v>
      </c>
      <c r="M21" s="216" t="s">
        <v>130</v>
      </c>
      <c r="O21" s="185">
        <v>5</v>
      </c>
    </row>
    <row r="22" spans="1:15" x14ac:dyDescent="0.55000000000000004">
      <c r="A22" s="193"/>
      <c r="B22" s="204">
        <v>43251</v>
      </c>
      <c r="C22" s="204" t="s">
        <v>235</v>
      </c>
      <c r="D22" s="212" t="s">
        <v>236</v>
      </c>
      <c r="E22" s="213" t="s">
        <v>206</v>
      </c>
      <c r="F22" s="214"/>
      <c r="G22" s="208">
        <v>307.5</v>
      </c>
      <c r="H22" s="209">
        <v>61.5</v>
      </c>
      <c r="I22" s="185" t="s">
        <v>157</v>
      </c>
      <c r="J22" s="185">
        <v>6</v>
      </c>
      <c r="L22" s="219">
        <v>9</v>
      </c>
      <c r="M22" s="216" t="s">
        <v>120</v>
      </c>
      <c r="O22" s="185">
        <v>6</v>
      </c>
    </row>
    <row r="23" spans="1:15" x14ac:dyDescent="0.55000000000000004">
      <c r="A23" s="193"/>
      <c r="B23" s="204">
        <v>43199</v>
      </c>
      <c r="C23" s="204" t="s">
        <v>238</v>
      </c>
      <c r="D23" s="212" t="s">
        <v>46</v>
      </c>
      <c r="E23" s="213"/>
      <c r="F23" s="214">
        <v>0.03</v>
      </c>
      <c r="G23" s="208"/>
      <c r="H23" s="209"/>
      <c r="I23" s="185" t="s">
        <v>5</v>
      </c>
      <c r="J23" s="185">
        <v>3</v>
      </c>
      <c r="L23" s="219">
        <v>10</v>
      </c>
      <c r="M23" s="216" t="s">
        <v>145</v>
      </c>
      <c r="O23" s="185">
        <v>7</v>
      </c>
    </row>
    <row r="24" spans="1:15" x14ac:dyDescent="0.55000000000000004">
      <c r="A24" s="193"/>
      <c r="B24" s="204">
        <v>43229</v>
      </c>
      <c r="C24" s="204" t="s">
        <v>237</v>
      </c>
      <c r="D24" s="212" t="s">
        <v>46</v>
      </c>
      <c r="E24" s="213"/>
      <c r="F24" s="214">
        <v>0.6</v>
      </c>
      <c r="G24" s="208"/>
      <c r="H24" s="209"/>
      <c r="I24" s="185" t="s">
        <v>5</v>
      </c>
      <c r="J24" s="185">
        <v>3</v>
      </c>
      <c r="L24" s="219"/>
      <c r="M24" s="216"/>
      <c r="O24" s="185">
        <v>8</v>
      </c>
    </row>
    <row r="25" spans="1:15" ht="14.7" thickBot="1" x14ac:dyDescent="0.6">
      <c r="A25" s="193"/>
      <c r="B25" s="204">
        <v>43266</v>
      </c>
      <c r="C25" s="204" t="s">
        <v>240</v>
      </c>
      <c r="D25" s="212" t="s">
        <v>241</v>
      </c>
      <c r="E25" s="213" t="s">
        <v>206</v>
      </c>
      <c r="F25" s="214"/>
      <c r="G25" s="208">
        <v>417.58</v>
      </c>
      <c r="H25" s="209"/>
      <c r="I25" s="185" t="s">
        <v>203</v>
      </c>
      <c r="J25" s="185">
        <v>10</v>
      </c>
      <c r="L25" s="219">
        <v>12</v>
      </c>
      <c r="M25" s="222" t="s">
        <v>171</v>
      </c>
      <c r="O25" s="185">
        <v>9</v>
      </c>
    </row>
    <row r="26" spans="1:15" x14ac:dyDescent="0.55000000000000004">
      <c r="A26" s="193"/>
      <c r="B26" s="204">
        <v>43273</v>
      </c>
      <c r="C26" s="204" t="s">
        <v>242</v>
      </c>
      <c r="D26" s="212" t="s">
        <v>243</v>
      </c>
      <c r="E26" s="213" t="s">
        <v>206</v>
      </c>
      <c r="F26" s="214"/>
      <c r="G26" s="208">
        <v>373.75</v>
      </c>
      <c r="H26" s="209">
        <v>74.75</v>
      </c>
      <c r="I26" s="185" t="s">
        <v>12</v>
      </c>
      <c r="J26" s="185">
        <v>10</v>
      </c>
      <c r="L26" s="223"/>
      <c r="M26" s="224" t="s">
        <v>90</v>
      </c>
      <c r="O26" s="185">
        <v>10</v>
      </c>
    </row>
    <row r="27" spans="1:15" x14ac:dyDescent="0.55000000000000004">
      <c r="A27" s="193"/>
      <c r="B27" s="204">
        <v>43273</v>
      </c>
      <c r="C27" s="204" t="s">
        <v>244</v>
      </c>
      <c r="D27" s="212" t="s">
        <v>230</v>
      </c>
      <c r="E27" s="213" t="s">
        <v>206</v>
      </c>
      <c r="F27" s="214"/>
      <c r="G27" s="208">
        <v>84</v>
      </c>
      <c r="H27" s="209"/>
      <c r="I27" s="185" t="s">
        <v>10</v>
      </c>
      <c r="J27" s="185">
        <v>2</v>
      </c>
      <c r="L27" s="223">
        <v>1</v>
      </c>
      <c r="M27" s="216" t="s">
        <v>80</v>
      </c>
      <c r="O27" s="185">
        <v>11</v>
      </c>
    </row>
    <row r="28" spans="1:15" x14ac:dyDescent="0.55000000000000004">
      <c r="A28" s="193"/>
      <c r="B28" s="204">
        <v>43273</v>
      </c>
      <c r="C28" s="204" t="s">
        <v>245</v>
      </c>
      <c r="D28" s="212" t="s">
        <v>204</v>
      </c>
      <c r="E28" s="213" t="s">
        <v>206</v>
      </c>
      <c r="F28" s="214"/>
      <c r="G28" s="208">
        <v>600</v>
      </c>
      <c r="H28" s="209"/>
      <c r="I28" s="185" t="s">
        <v>13</v>
      </c>
      <c r="J28" s="185">
        <v>1</v>
      </c>
      <c r="L28" s="223">
        <v>2</v>
      </c>
      <c r="M28" s="217" t="s">
        <v>14</v>
      </c>
      <c r="O28" s="185">
        <v>12</v>
      </c>
    </row>
    <row r="29" spans="1:15" ht="14.7" thickBot="1" x14ac:dyDescent="0.6">
      <c r="A29" s="193"/>
      <c r="B29" s="204">
        <v>43273</v>
      </c>
      <c r="C29" s="204" t="s">
        <v>246</v>
      </c>
      <c r="D29" s="212" t="s">
        <v>215</v>
      </c>
      <c r="E29" s="213" t="s">
        <v>206</v>
      </c>
      <c r="F29" s="214"/>
      <c r="G29" s="208">
        <v>287.49</v>
      </c>
      <c r="H29" s="209"/>
      <c r="I29" s="185" t="s">
        <v>203</v>
      </c>
      <c r="J29" s="185">
        <v>1</v>
      </c>
      <c r="L29" s="223">
        <v>3</v>
      </c>
      <c r="M29" s="218" t="s">
        <v>164</v>
      </c>
      <c r="O29" s="185">
        <v>13</v>
      </c>
    </row>
    <row r="30" spans="1:15" x14ac:dyDescent="0.55000000000000004">
      <c r="A30" s="193"/>
      <c r="B30" s="204">
        <v>43273</v>
      </c>
      <c r="C30" s="204" t="s">
        <v>247</v>
      </c>
      <c r="D30" s="212" t="s">
        <v>217</v>
      </c>
      <c r="E30" s="213" t="s">
        <v>206</v>
      </c>
      <c r="F30" s="214"/>
      <c r="G30" s="208">
        <v>44.8</v>
      </c>
      <c r="H30" s="209"/>
      <c r="I30" s="185" t="s">
        <v>203</v>
      </c>
      <c r="J30" s="185">
        <v>1</v>
      </c>
      <c r="L30" s="225"/>
      <c r="M30" s="226" t="s">
        <v>89</v>
      </c>
      <c r="O30" s="185">
        <v>14</v>
      </c>
    </row>
    <row r="31" spans="1:15" x14ac:dyDescent="0.55000000000000004">
      <c r="A31" s="193"/>
      <c r="B31" s="204">
        <v>43273</v>
      </c>
      <c r="C31" s="204" t="s">
        <v>248</v>
      </c>
      <c r="D31" s="212" t="s">
        <v>222</v>
      </c>
      <c r="E31" s="213" t="s">
        <v>206</v>
      </c>
      <c r="F31" s="214"/>
      <c r="G31" s="208">
        <v>317.27</v>
      </c>
      <c r="H31" s="209"/>
      <c r="I31" s="185" t="s">
        <v>12</v>
      </c>
      <c r="J31" s="185">
        <v>5</v>
      </c>
      <c r="L31" s="227">
        <v>1</v>
      </c>
      <c r="M31" s="221" t="s">
        <v>11</v>
      </c>
      <c r="O31" s="185">
        <v>15</v>
      </c>
    </row>
    <row r="32" spans="1:15" x14ac:dyDescent="0.55000000000000004">
      <c r="A32" s="193"/>
      <c r="B32" s="204">
        <v>43273</v>
      </c>
      <c r="C32" s="204" t="s">
        <v>249</v>
      </c>
      <c r="D32" s="212" t="s">
        <v>239</v>
      </c>
      <c r="E32" s="213" t="s">
        <v>206</v>
      </c>
      <c r="F32" s="214"/>
      <c r="G32" s="208">
        <v>106.5</v>
      </c>
      <c r="H32" s="209">
        <v>21.3</v>
      </c>
      <c r="I32" s="185" t="s">
        <v>157</v>
      </c>
      <c r="J32" s="185">
        <v>6</v>
      </c>
      <c r="L32" s="225">
        <v>2</v>
      </c>
      <c r="M32" s="221" t="s">
        <v>16</v>
      </c>
    </row>
    <row r="33" spans="1:13" x14ac:dyDescent="0.55000000000000004">
      <c r="A33" s="193"/>
      <c r="B33" s="204">
        <v>43266</v>
      </c>
      <c r="C33" s="204" t="s">
        <v>250</v>
      </c>
      <c r="D33" s="212" t="s">
        <v>201</v>
      </c>
      <c r="E33" s="213" t="s">
        <v>202</v>
      </c>
      <c r="F33" s="214"/>
      <c r="G33" s="208">
        <v>23.5</v>
      </c>
      <c r="H33" s="209">
        <v>4.7</v>
      </c>
      <c r="I33" s="185" t="s">
        <v>203</v>
      </c>
      <c r="J33" s="185">
        <v>4</v>
      </c>
      <c r="L33" s="225">
        <v>3</v>
      </c>
      <c r="M33" s="216" t="s">
        <v>132</v>
      </c>
    </row>
    <row r="34" spans="1:13" x14ac:dyDescent="0.55000000000000004">
      <c r="A34" s="193"/>
      <c r="B34" s="204">
        <v>43262</v>
      </c>
      <c r="C34" s="204" t="s">
        <v>251</v>
      </c>
      <c r="D34" s="212" t="s">
        <v>46</v>
      </c>
      <c r="E34" s="213"/>
      <c r="F34" s="214">
        <v>0.79</v>
      </c>
      <c r="G34" s="208"/>
      <c r="H34" s="209"/>
      <c r="I34" s="185" t="s">
        <v>5</v>
      </c>
      <c r="J34" s="185">
        <v>3</v>
      </c>
      <c r="L34" s="225">
        <v>4</v>
      </c>
      <c r="M34" s="216" t="s">
        <v>163</v>
      </c>
    </row>
    <row r="35" spans="1:13" x14ac:dyDescent="0.55000000000000004">
      <c r="A35" s="193"/>
      <c r="B35" s="204">
        <v>43249</v>
      </c>
      <c r="C35" s="204" t="s">
        <v>252</v>
      </c>
      <c r="D35" s="212" t="s">
        <v>253</v>
      </c>
      <c r="E35" s="213"/>
      <c r="F35" s="214">
        <v>35</v>
      </c>
      <c r="G35" s="208"/>
      <c r="H35" s="209"/>
      <c r="I35" s="185" t="s">
        <v>5</v>
      </c>
      <c r="J35" s="185">
        <v>5</v>
      </c>
      <c r="L35" s="225">
        <v>5</v>
      </c>
      <c r="M35" s="216" t="s">
        <v>133</v>
      </c>
    </row>
    <row r="36" spans="1:13" x14ac:dyDescent="0.55000000000000004">
      <c r="A36" s="193"/>
      <c r="B36" s="204">
        <v>43283</v>
      </c>
      <c r="C36" s="204" t="s">
        <v>255</v>
      </c>
      <c r="D36" s="212" t="s">
        <v>256</v>
      </c>
      <c r="E36" s="213" t="s">
        <v>206</v>
      </c>
      <c r="F36" s="214"/>
      <c r="G36" s="208">
        <v>350</v>
      </c>
      <c r="H36" s="209"/>
      <c r="I36" s="185" t="s">
        <v>12</v>
      </c>
      <c r="J36" s="185">
        <v>2</v>
      </c>
      <c r="L36" s="225">
        <v>6</v>
      </c>
      <c r="M36" s="216" t="s">
        <v>134</v>
      </c>
    </row>
    <row r="37" spans="1:13" x14ac:dyDescent="0.55000000000000004">
      <c r="A37" s="193"/>
      <c r="B37" s="204">
        <v>43297</v>
      </c>
      <c r="C37" s="204" t="s">
        <v>257</v>
      </c>
      <c r="D37" s="212" t="s">
        <v>201</v>
      </c>
      <c r="E37" s="213" t="s">
        <v>202</v>
      </c>
      <c r="F37" s="214"/>
      <c r="G37" s="208">
        <v>23.5</v>
      </c>
      <c r="H37" s="209">
        <v>4.7</v>
      </c>
      <c r="I37" s="185" t="s">
        <v>203</v>
      </c>
      <c r="J37" s="185">
        <v>4</v>
      </c>
      <c r="L37" s="225">
        <v>7</v>
      </c>
      <c r="M37" s="216" t="s">
        <v>22</v>
      </c>
    </row>
    <row r="38" spans="1:13" x14ac:dyDescent="0.55000000000000004">
      <c r="A38" s="193"/>
      <c r="B38" s="204">
        <v>43304</v>
      </c>
      <c r="C38" s="204" t="s">
        <v>258</v>
      </c>
      <c r="D38" s="212" t="s">
        <v>215</v>
      </c>
      <c r="E38" s="213" t="s">
        <v>206</v>
      </c>
      <c r="F38" s="214"/>
      <c r="G38" s="213">
        <v>212.02</v>
      </c>
      <c r="H38" s="209"/>
      <c r="I38" s="185" t="s">
        <v>203</v>
      </c>
      <c r="J38" s="185">
        <v>1</v>
      </c>
      <c r="L38" s="225">
        <v>8</v>
      </c>
      <c r="M38" s="216" t="s">
        <v>81</v>
      </c>
    </row>
    <row r="39" spans="1:13" x14ac:dyDescent="0.55000000000000004">
      <c r="A39" s="193"/>
      <c r="B39" s="204">
        <v>43304</v>
      </c>
      <c r="C39" s="204" t="s">
        <v>259</v>
      </c>
      <c r="D39" s="212" t="s">
        <v>217</v>
      </c>
      <c r="E39" s="213" t="s">
        <v>206</v>
      </c>
      <c r="F39" s="214"/>
      <c r="G39" s="213">
        <v>33.200000000000003</v>
      </c>
      <c r="H39" s="209"/>
      <c r="I39" s="185" t="s">
        <v>203</v>
      </c>
      <c r="J39" s="185">
        <v>1</v>
      </c>
      <c r="L39" s="225">
        <v>9</v>
      </c>
      <c r="M39" s="216" t="s">
        <v>23</v>
      </c>
    </row>
    <row r="40" spans="1:13" x14ac:dyDescent="0.55000000000000004">
      <c r="A40" s="193"/>
      <c r="B40" s="204">
        <v>43304</v>
      </c>
      <c r="C40" s="204" t="s">
        <v>260</v>
      </c>
      <c r="D40" s="212" t="s">
        <v>222</v>
      </c>
      <c r="E40" s="213" t="s">
        <v>206</v>
      </c>
      <c r="G40" s="213">
        <v>328.72</v>
      </c>
      <c r="H40" s="209"/>
      <c r="I40" s="185" t="s">
        <v>12</v>
      </c>
      <c r="J40" s="185">
        <v>5</v>
      </c>
      <c r="L40" s="225">
        <v>10</v>
      </c>
      <c r="M40" s="216" t="s">
        <v>2</v>
      </c>
    </row>
    <row r="41" spans="1:13" x14ac:dyDescent="0.55000000000000004">
      <c r="A41" s="193"/>
      <c r="B41" s="204">
        <v>43304</v>
      </c>
      <c r="C41" s="204" t="s">
        <v>261</v>
      </c>
      <c r="D41" s="212" t="s">
        <v>204</v>
      </c>
      <c r="E41" s="213" t="s">
        <v>206</v>
      </c>
      <c r="G41" s="213">
        <v>600</v>
      </c>
      <c r="H41" s="209"/>
      <c r="I41" s="185" t="s">
        <v>13</v>
      </c>
      <c r="J41" s="185">
        <v>1</v>
      </c>
      <c r="L41" s="225">
        <v>11</v>
      </c>
      <c r="M41" s="217" t="s">
        <v>24</v>
      </c>
    </row>
    <row r="42" spans="1:13" ht="14.7" thickBot="1" x14ac:dyDescent="0.6">
      <c r="A42" s="193"/>
      <c r="B42" s="204">
        <v>43312</v>
      </c>
      <c r="C42" s="204" t="s">
        <v>262</v>
      </c>
      <c r="D42" s="212" t="s">
        <v>263</v>
      </c>
      <c r="E42" s="213" t="s">
        <v>206</v>
      </c>
      <c r="G42" s="213">
        <v>150</v>
      </c>
      <c r="H42" s="209"/>
      <c r="I42" s="185" t="s">
        <v>12</v>
      </c>
      <c r="J42" s="185">
        <v>2</v>
      </c>
      <c r="L42" s="225">
        <v>12</v>
      </c>
      <c r="M42" s="218" t="s">
        <v>47</v>
      </c>
    </row>
    <row r="43" spans="1:13" x14ac:dyDescent="0.55000000000000004">
      <c r="A43" s="193"/>
      <c r="B43" s="204">
        <v>43306</v>
      </c>
      <c r="C43" s="204" t="s">
        <v>264</v>
      </c>
      <c r="D43" s="212" t="s">
        <v>265</v>
      </c>
      <c r="E43" s="213" t="s">
        <v>206</v>
      </c>
      <c r="F43" s="214">
        <v>-35</v>
      </c>
      <c r="G43" s="208"/>
      <c r="H43" s="209"/>
      <c r="I43" s="185" t="s">
        <v>5</v>
      </c>
      <c r="J43" s="185">
        <v>5</v>
      </c>
      <c r="L43" s="228"/>
      <c r="M43" s="229" t="s">
        <v>88</v>
      </c>
    </row>
    <row r="44" spans="1:13" x14ac:dyDescent="0.55000000000000004">
      <c r="A44" s="193"/>
      <c r="B44" s="204">
        <v>43290</v>
      </c>
      <c r="C44" s="204" t="s">
        <v>266</v>
      </c>
      <c r="D44" s="212" t="s">
        <v>46</v>
      </c>
      <c r="E44" s="213"/>
      <c r="F44" s="214">
        <v>0.56000000000000005</v>
      </c>
      <c r="G44" s="208"/>
      <c r="H44" s="209"/>
      <c r="I44" s="185" t="s">
        <v>5</v>
      </c>
      <c r="J44" s="185">
        <v>3</v>
      </c>
      <c r="L44" s="230">
        <v>1</v>
      </c>
      <c r="M44" s="216" t="s">
        <v>17</v>
      </c>
    </row>
    <row r="45" spans="1:13" x14ac:dyDescent="0.55000000000000004">
      <c r="A45" s="193"/>
      <c r="B45" s="204">
        <v>43333</v>
      </c>
      <c r="C45" s="204" t="s">
        <v>267</v>
      </c>
      <c r="D45" s="212" t="s">
        <v>268</v>
      </c>
      <c r="E45" s="213" t="s">
        <v>206</v>
      </c>
      <c r="F45" s="214"/>
      <c r="G45" s="208">
        <v>13.28</v>
      </c>
      <c r="H45" s="209">
        <v>2.65</v>
      </c>
      <c r="I45" s="185" t="s">
        <v>157</v>
      </c>
      <c r="J45" s="185">
        <v>1</v>
      </c>
      <c r="L45" s="228">
        <v>2</v>
      </c>
      <c r="M45" s="216" t="s">
        <v>18</v>
      </c>
    </row>
    <row r="46" spans="1:13" x14ac:dyDescent="0.55000000000000004">
      <c r="A46" s="193"/>
      <c r="B46" s="204">
        <v>43331</v>
      </c>
      <c r="C46" s="204" t="s">
        <v>269</v>
      </c>
      <c r="D46" s="212" t="s">
        <v>215</v>
      </c>
      <c r="E46" s="213" t="s">
        <v>206</v>
      </c>
      <c r="F46" s="214"/>
      <c r="G46" s="208">
        <v>192.24</v>
      </c>
      <c r="H46" s="209"/>
      <c r="I46" s="185" t="s">
        <v>203</v>
      </c>
      <c r="J46" s="185">
        <v>1</v>
      </c>
      <c r="L46" s="228">
        <v>3</v>
      </c>
      <c r="M46" s="216" t="s">
        <v>19</v>
      </c>
    </row>
    <row r="47" spans="1:13" x14ac:dyDescent="0.55000000000000004">
      <c r="A47" s="193"/>
      <c r="B47" s="204">
        <v>43331</v>
      </c>
      <c r="C47" s="204" t="s">
        <v>270</v>
      </c>
      <c r="D47" s="212" t="s">
        <v>217</v>
      </c>
      <c r="E47" s="213" t="s">
        <v>206</v>
      </c>
      <c r="F47" s="214"/>
      <c r="G47" s="208">
        <v>26.8</v>
      </c>
      <c r="H47" s="209"/>
      <c r="I47" s="185" t="s">
        <v>203</v>
      </c>
      <c r="J47" s="185">
        <v>1</v>
      </c>
      <c r="L47" s="228">
        <v>4</v>
      </c>
      <c r="M47" s="216" t="s">
        <v>20</v>
      </c>
    </row>
    <row r="48" spans="1:13" x14ac:dyDescent="0.55000000000000004">
      <c r="A48" s="193"/>
      <c r="B48" s="204">
        <v>43318</v>
      </c>
      <c r="C48" s="204" t="s">
        <v>271</v>
      </c>
      <c r="D48" s="212" t="s">
        <v>272</v>
      </c>
      <c r="E48" s="213" t="s">
        <v>206</v>
      </c>
      <c r="F48" s="214"/>
      <c r="G48" s="208">
        <v>9.4</v>
      </c>
      <c r="H48" s="209"/>
      <c r="I48" s="185" t="s">
        <v>203</v>
      </c>
      <c r="J48" s="185">
        <v>6</v>
      </c>
      <c r="L48" s="228">
        <v>5</v>
      </c>
      <c r="M48" s="217" t="s">
        <v>167</v>
      </c>
    </row>
    <row r="49" spans="1:13" ht="14.7" thickBot="1" x14ac:dyDescent="0.6">
      <c r="A49" s="193"/>
      <c r="B49" s="204">
        <v>43331</v>
      </c>
      <c r="C49" s="204" t="s">
        <v>273</v>
      </c>
      <c r="D49" s="212" t="s">
        <v>222</v>
      </c>
      <c r="E49" s="213" t="s">
        <v>206</v>
      </c>
      <c r="F49" s="214"/>
      <c r="G49" s="208">
        <v>342.72</v>
      </c>
      <c r="H49" s="209"/>
      <c r="I49" s="185" t="s">
        <v>12</v>
      </c>
      <c r="J49" s="185">
        <v>5</v>
      </c>
      <c r="L49" s="228">
        <v>6</v>
      </c>
      <c r="M49" s="218" t="s">
        <v>21</v>
      </c>
    </row>
    <row r="50" spans="1:13" x14ac:dyDescent="0.55000000000000004">
      <c r="A50" s="193"/>
      <c r="B50" s="204">
        <v>43331</v>
      </c>
      <c r="C50" s="204" t="s">
        <v>274</v>
      </c>
      <c r="D50" s="212" t="s">
        <v>275</v>
      </c>
      <c r="E50" s="213" t="s">
        <v>206</v>
      </c>
      <c r="F50" s="214"/>
      <c r="G50" s="208">
        <v>133.5</v>
      </c>
      <c r="H50" s="209"/>
      <c r="I50" s="185" t="s">
        <v>157</v>
      </c>
      <c r="J50" s="185">
        <v>6</v>
      </c>
      <c r="L50" s="231"/>
      <c r="M50" s="232" t="s">
        <v>87</v>
      </c>
    </row>
    <row r="51" spans="1:13" x14ac:dyDescent="0.55000000000000004">
      <c r="A51" s="193"/>
      <c r="B51" s="204">
        <v>43328</v>
      </c>
      <c r="C51" s="204" t="s">
        <v>276</v>
      </c>
      <c r="D51" s="212" t="s">
        <v>201</v>
      </c>
      <c r="E51" s="213" t="s">
        <v>202</v>
      </c>
      <c r="F51" s="214"/>
      <c r="G51" s="208">
        <v>23.5</v>
      </c>
      <c r="H51" s="209">
        <v>4.7</v>
      </c>
      <c r="I51" s="185" t="s">
        <v>203</v>
      </c>
      <c r="J51" s="185">
        <v>4</v>
      </c>
      <c r="L51" s="231">
        <v>1</v>
      </c>
      <c r="M51" s="221" t="s">
        <v>25</v>
      </c>
    </row>
    <row r="52" spans="1:13" ht="14.7" thickBot="1" x14ac:dyDescent="0.6">
      <c r="A52" s="193"/>
      <c r="B52" s="204">
        <v>43333</v>
      </c>
      <c r="C52" s="204" t="s">
        <v>277</v>
      </c>
      <c r="D52" s="212" t="s">
        <v>278</v>
      </c>
      <c r="E52" s="213"/>
      <c r="F52" s="214">
        <v>4646.1000000000004</v>
      </c>
      <c r="G52" s="208"/>
      <c r="H52" s="209"/>
      <c r="I52" s="185" t="s">
        <v>5</v>
      </c>
      <c r="J52" s="185">
        <v>4</v>
      </c>
      <c r="L52" s="231">
        <v>2</v>
      </c>
      <c r="M52" s="233" t="s">
        <v>122</v>
      </c>
    </row>
    <row r="53" spans="1:13" x14ac:dyDescent="0.55000000000000004">
      <c r="A53" s="193"/>
      <c r="B53" s="204">
        <v>43321</v>
      </c>
      <c r="C53" s="204" t="s">
        <v>279</v>
      </c>
      <c r="D53" s="212" t="s">
        <v>46</v>
      </c>
      <c r="E53" s="213"/>
      <c r="F53" s="214">
        <v>0.55000000000000004</v>
      </c>
      <c r="G53" s="208"/>
      <c r="H53" s="209"/>
      <c r="I53" s="185" t="s">
        <v>5</v>
      </c>
      <c r="J53" s="185">
        <v>3</v>
      </c>
      <c r="L53" s="234"/>
      <c r="M53" s="235" t="s">
        <v>5</v>
      </c>
    </row>
    <row r="54" spans="1:13" x14ac:dyDescent="0.55000000000000004">
      <c r="A54" s="193"/>
      <c r="B54" s="204">
        <v>43366</v>
      </c>
      <c r="C54" s="204" t="s">
        <v>282</v>
      </c>
      <c r="D54" s="212" t="s">
        <v>283</v>
      </c>
      <c r="E54" s="213" t="s">
        <v>206</v>
      </c>
      <c r="F54" s="214"/>
      <c r="G54" s="208">
        <v>300</v>
      </c>
      <c r="H54" s="209">
        <v>60</v>
      </c>
      <c r="I54" s="185" t="s">
        <v>162</v>
      </c>
      <c r="J54" s="185">
        <v>1</v>
      </c>
      <c r="L54" s="234">
        <v>1</v>
      </c>
      <c r="M54" s="221" t="s">
        <v>8</v>
      </c>
    </row>
    <row r="55" spans="1:13" x14ac:dyDescent="0.55000000000000004">
      <c r="A55" s="193"/>
      <c r="B55" s="204">
        <v>43366</v>
      </c>
      <c r="C55" s="204" t="s">
        <v>284</v>
      </c>
      <c r="D55" s="212" t="s">
        <v>280</v>
      </c>
      <c r="E55" s="213" t="s">
        <v>206</v>
      </c>
      <c r="F55" s="214"/>
      <c r="G55" s="208">
        <v>150</v>
      </c>
      <c r="H55" s="209"/>
      <c r="I55" s="185" t="s">
        <v>157</v>
      </c>
      <c r="J55" s="185">
        <v>1</v>
      </c>
      <c r="L55" s="234">
        <v>2</v>
      </c>
      <c r="M55" s="221" t="s">
        <v>127</v>
      </c>
    </row>
    <row r="56" spans="1:13" x14ac:dyDescent="0.55000000000000004">
      <c r="A56" s="193"/>
      <c r="B56" s="204">
        <v>43366</v>
      </c>
      <c r="C56" s="204" t="s">
        <v>285</v>
      </c>
      <c r="D56" s="212" t="s">
        <v>286</v>
      </c>
      <c r="E56" s="213" t="s">
        <v>206</v>
      </c>
      <c r="F56" s="214"/>
      <c r="G56" s="208">
        <v>95.4</v>
      </c>
      <c r="H56" s="209"/>
      <c r="I56" s="185" t="s">
        <v>157</v>
      </c>
      <c r="J56" s="185">
        <v>1</v>
      </c>
      <c r="L56" s="234">
        <v>3</v>
      </c>
      <c r="M56" s="221" t="s">
        <v>46</v>
      </c>
    </row>
    <row r="57" spans="1:13" x14ac:dyDescent="0.55000000000000004">
      <c r="A57" s="193"/>
      <c r="B57" s="204">
        <v>43366</v>
      </c>
      <c r="C57" s="204" t="s">
        <v>287</v>
      </c>
      <c r="D57" s="212" t="s">
        <v>288</v>
      </c>
      <c r="E57" s="213" t="s">
        <v>206</v>
      </c>
      <c r="F57" s="214"/>
      <c r="G57" s="208">
        <v>43.41</v>
      </c>
      <c r="H57" s="209"/>
      <c r="I57" s="185" t="s">
        <v>157</v>
      </c>
      <c r="J57" s="185">
        <v>1</v>
      </c>
      <c r="L57" s="234">
        <v>4</v>
      </c>
      <c r="M57" s="221" t="s">
        <v>83</v>
      </c>
    </row>
    <row r="58" spans="1:13" x14ac:dyDescent="0.55000000000000004">
      <c r="A58" s="193"/>
      <c r="B58" s="204">
        <v>43366</v>
      </c>
      <c r="C58" s="204" t="s">
        <v>289</v>
      </c>
      <c r="D58" s="212" t="s">
        <v>281</v>
      </c>
      <c r="E58" s="213" t="s">
        <v>206</v>
      </c>
      <c r="F58" s="214"/>
      <c r="G58" s="208">
        <v>45.33</v>
      </c>
      <c r="H58" s="209">
        <v>9.07</v>
      </c>
      <c r="I58" s="185" t="s">
        <v>203</v>
      </c>
      <c r="J58" s="185">
        <v>3</v>
      </c>
      <c r="L58" s="234">
        <v>5</v>
      </c>
      <c r="M58" s="185" t="s">
        <v>168</v>
      </c>
    </row>
    <row r="59" spans="1:13" x14ac:dyDescent="0.55000000000000004">
      <c r="A59" s="193"/>
      <c r="B59" s="204">
        <v>43366</v>
      </c>
      <c r="C59" s="204" t="s">
        <v>290</v>
      </c>
      <c r="D59" s="212" t="s">
        <v>291</v>
      </c>
      <c r="E59" s="213" t="s">
        <v>206</v>
      </c>
      <c r="F59" s="214"/>
      <c r="G59" s="208">
        <v>585</v>
      </c>
      <c r="H59" s="209">
        <v>117</v>
      </c>
      <c r="I59" s="185" t="s">
        <v>12</v>
      </c>
      <c r="J59" s="185">
        <v>9</v>
      </c>
    </row>
    <row r="60" spans="1:13" x14ac:dyDescent="0.55000000000000004">
      <c r="A60" s="193"/>
      <c r="B60" s="204">
        <v>43366</v>
      </c>
      <c r="C60" s="204" t="s">
        <v>292</v>
      </c>
      <c r="D60" s="212" t="s">
        <v>222</v>
      </c>
      <c r="E60" s="213" t="s">
        <v>206</v>
      </c>
      <c r="F60" s="214"/>
      <c r="G60" s="208">
        <v>374.33</v>
      </c>
      <c r="H60" s="209"/>
      <c r="I60" s="185" t="s">
        <v>12</v>
      </c>
      <c r="J60" s="185">
        <v>5</v>
      </c>
    </row>
    <row r="61" spans="1:13" x14ac:dyDescent="0.55000000000000004">
      <c r="A61" s="193"/>
      <c r="B61" s="204">
        <v>43366</v>
      </c>
      <c r="C61" s="204" t="s">
        <v>293</v>
      </c>
      <c r="D61" s="212" t="s">
        <v>215</v>
      </c>
      <c r="E61" s="213" t="s">
        <v>206</v>
      </c>
      <c r="F61" s="214"/>
      <c r="G61" s="208">
        <v>154.91</v>
      </c>
      <c r="H61" s="209"/>
      <c r="I61" s="185" t="s">
        <v>203</v>
      </c>
      <c r="J61" s="185">
        <v>1</v>
      </c>
    </row>
    <row r="62" spans="1:13" x14ac:dyDescent="0.55000000000000004">
      <c r="A62" s="193"/>
      <c r="B62" s="204">
        <v>43366</v>
      </c>
      <c r="C62" s="204" t="s">
        <v>294</v>
      </c>
      <c r="D62" s="212" t="s">
        <v>303</v>
      </c>
      <c r="E62" s="213" t="s">
        <v>206</v>
      </c>
      <c r="F62" s="214"/>
      <c r="G62" s="208">
        <v>0</v>
      </c>
      <c r="H62" s="209"/>
      <c r="I62" s="185" t="s">
        <v>203</v>
      </c>
      <c r="J62" s="185">
        <v>1</v>
      </c>
    </row>
    <row r="63" spans="1:13" x14ac:dyDescent="0.55000000000000004">
      <c r="A63" s="193"/>
      <c r="B63" s="204">
        <v>43366</v>
      </c>
      <c r="C63" s="204" t="s">
        <v>295</v>
      </c>
      <c r="D63" s="212" t="s">
        <v>296</v>
      </c>
      <c r="E63" s="213" t="s">
        <v>206</v>
      </c>
      <c r="F63" s="214"/>
      <c r="G63" s="208">
        <v>90</v>
      </c>
      <c r="H63" s="209"/>
      <c r="I63" s="185" t="s">
        <v>13</v>
      </c>
      <c r="J63" s="185">
        <v>1</v>
      </c>
    </row>
    <row r="64" spans="1:13" x14ac:dyDescent="0.55000000000000004">
      <c r="A64" s="193"/>
      <c r="B64" s="204">
        <v>43366</v>
      </c>
      <c r="C64" s="204" t="s">
        <v>297</v>
      </c>
      <c r="D64" s="212" t="s">
        <v>204</v>
      </c>
      <c r="E64" s="213" t="s">
        <v>206</v>
      </c>
      <c r="F64" s="214"/>
      <c r="G64" s="208">
        <v>600</v>
      </c>
      <c r="H64" s="209"/>
      <c r="I64" s="185" t="s">
        <v>13</v>
      </c>
      <c r="J64" s="185">
        <v>1</v>
      </c>
    </row>
    <row r="65" spans="1:10" x14ac:dyDescent="0.55000000000000004">
      <c r="A65" s="193"/>
      <c r="B65" s="204">
        <v>43366</v>
      </c>
      <c r="C65" s="204" t="s">
        <v>298</v>
      </c>
      <c r="D65" s="212" t="s">
        <v>204</v>
      </c>
      <c r="E65" s="213" t="s">
        <v>206</v>
      </c>
      <c r="F65" s="214"/>
      <c r="G65" s="208">
        <v>400</v>
      </c>
      <c r="H65" s="209"/>
      <c r="I65" s="185" t="s">
        <v>13</v>
      </c>
      <c r="J65" s="185">
        <v>1</v>
      </c>
    </row>
    <row r="66" spans="1:10" x14ac:dyDescent="0.55000000000000004">
      <c r="A66" s="193"/>
      <c r="B66" s="204">
        <v>43366</v>
      </c>
      <c r="C66" s="204" t="s">
        <v>299</v>
      </c>
      <c r="D66" s="212" t="s">
        <v>300</v>
      </c>
      <c r="E66" s="213" t="s">
        <v>206</v>
      </c>
      <c r="F66" s="214"/>
      <c r="G66" s="208">
        <v>266.97000000000003</v>
      </c>
      <c r="H66" s="209">
        <v>53.4</v>
      </c>
      <c r="I66" s="185" t="s">
        <v>203</v>
      </c>
      <c r="J66" s="185">
        <v>11</v>
      </c>
    </row>
    <row r="67" spans="1:10" x14ac:dyDescent="0.55000000000000004">
      <c r="A67" s="193"/>
      <c r="B67" s="204">
        <v>43366</v>
      </c>
      <c r="C67" s="204" t="s">
        <v>301</v>
      </c>
      <c r="D67" s="212" t="s">
        <v>300</v>
      </c>
      <c r="E67" s="213" t="s">
        <v>206</v>
      </c>
      <c r="F67" s="214"/>
      <c r="G67" s="208">
        <v>140.97</v>
      </c>
      <c r="H67" s="209">
        <v>28.19</v>
      </c>
      <c r="I67" s="185" t="s">
        <v>203</v>
      </c>
      <c r="J67" s="185">
        <v>11</v>
      </c>
    </row>
    <row r="68" spans="1:10" x14ac:dyDescent="0.55000000000000004">
      <c r="A68" s="193"/>
      <c r="B68" s="204">
        <v>43368</v>
      </c>
      <c r="C68" s="204" t="s">
        <v>302</v>
      </c>
      <c r="D68" s="212" t="s">
        <v>8</v>
      </c>
      <c r="E68" s="213"/>
      <c r="F68" s="214">
        <v>6715</v>
      </c>
      <c r="G68" s="208"/>
      <c r="H68" s="209"/>
      <c r="I68" s="185" t="s">
        <v>5</v>
      </c>
      <c r="J68" s="185">
        <v>1</v>
      </c>
    </row>
    <row r="69" spans="1:10" x14ac:dyDescent="0.55000000000000004">
      <c r="A69" s="193"/>
      <c r="B69" s="204">
        <v>43364</v>
      </c>
      <c r="C69" s="204" t="s">
        <v>304</v>
      </c>
      <c r="D69" s="212" t="s">
        <v>201</v>
      </c>
      <c r="E69" s="213" t="s">
        <v>202</v>
      </c>
      <c r="F69" s="214"/>
      <c r="G69" s="208">
        <v>23.5</v>
      </c>
      <c r="H69" s="209">
        <v>4.7</v>
      </c>
      <c r="I69" s="185" t="s">
        <v>203</v>
      </c>
      <c r="J69" s="185">
        <v>4</v>
      </c>
    </row>
    <row r="70" spans="1:10" x14ac:dyDescent="0.55000000000000004">
      <c r="A70" s="193"/>
      <c r="B70" s="204">
        <v>43353</v>
      </c>
      <c r="C70" s="204" t="s">
        <v>305</v>
      </c>
      <c r="D70" s="212" t="s">
        <v>46</v>
      </c>
      <c r="E70" s="213"/>
      <c r="F70" s="214">
        <v>0.51</v>
      </c>
      <c r="G70" s="208"/>
      <c r="H70" s="209"/>
      <c r="I70" s="185" t="s">
        <v>5</v>
      </c>
      <c r="J70" s="185">
        <v>3</v>
      </c>
    </row>
    <row r="71" spans="1:10" x14ac:dyDescent="0.55000000000000004">
      <c r="A71" s="193"/>
      <c r="B71" s="204">
        <v>43381</v>
      </c>
      <c r="C71" s="204" t="s">
        <v>306</v>
      </c>
      <c r="D71" s="212" t="s">
        <v>307</v>
      </c>
      <c r="E71" s="213" t="s">
        <v>206</v>
      </c>
      <c r="F71" s="214"/>
      <c r="G71" s="208">
        <v>550</v>
      </c>
      <c r="H71" s="209"/>
      <c r="I71" s="185" t="s">
        <v>157</v>
      </c>
      <c r="J71" s="185">
        <v>1</v>
      </c>
    </row>
    <row r="72" spans="1:10" x14ac:dyDescent="0.55000000000000004">
      <c r="A72" s="193"/>
      <c r="B72" s="204">
        <v>43390</v>
      </c>
      <c r="C72" s="204" t="s">
        <v>308</v>
      </c>
      <c r="D72" s="212" t="s">
        <v>201</v>
      </c>
      <c r="E72" s="213" t="s">
        <v>202</v>
      </c>
      <c r="F72" s="214"/>
      <c r="G72" s="208">
        <v>23.5</v>
      </c>
      <c r="H72" s="209">
        <v>4.7</v>
      </c>
      <c r="I72" s="185" t="s">
        <v>203</v>
      </c>
      <c r="J72" s="185">
        <v>4</v>
      </c>
    </row>
    <row r="73" spans="1:10" x14ac:dyDescent="0.55000000000000004">
      <c r="A73" s="193"/>
      <c r="B73" s="204">
        <v>43392</v>
      </c>
      <c r="C73" s="204" t="s">
        <v>309</v>
      </c>
      <c r="D73" s="212" t="s">
        <v>222</v>
      </c>
      <c r="E73" s="213" t="s">
        <v>206</v>
      </c>
      <c r="F73" s="214"/>
      <c r="G73" s="208">
        <v>371.14</v>
      </c>
      <c r="H73" s="209"/>
      <c r="I73" s="185" t="s">
        <v>12</v>
      </c>
      <c r="J73" s="185">
        <v>5</v>
      </c>
    </row>
    <row r="74" spans="1:10" x14ac:dyDescent="0.55000000000000004">
      <c r="A74" s="193"/>
      <c r="B74" s="204">
        <v>43392</v>
      </c>
      <c r="C74" s="204" t="s">
        <v>310</v>
      </c>
      <c r="D74" s="212" t="s">
        <v>215</v>
      </c>
      <c r="E74" s="213" t="s">
        <v>206</v>
      </c>
      <c r="F74" s="214"/>
      <c r="G74" s="208">
        <v>220.7</v>
      </c>
      <c r="H74" s="209"/>
      <c r="I74" s="185" t="s">
        <v>203</v>
      </c>
      <c r="J74" s="185">
        <v>1</v>
      </c>
    </row>
    <row r="75" spans="1:10" x14ac:dyDescent="0.55000000000000004">
      <c r="A75" s="193"/>
      <c r="B75" s="204">
        <v>43392</v>
      </c>
      <c r="C75" s="204" t="s">
        <v>311</v>
      </c>
      <c r="D75" s="212" t="s">
        <v>312</v>
      </c>
      <c r="E75" s="213" t="s">
        <v>206</v>
      </c>
      <c r="F75" s="214"/>
      <c r="G75" s="208">
        <v>0</v>
      </c>
      <c r="H75" s="209"/>
      <c r="I75" s="185" t="s">
        <v>203</v>
      </c>
      <c r="J75" s="185">
        <v>1</v>
      </c>
    </row>
    <row r="76" spans="1:10" x14ac:dyDescent="0.55000000000000004">
      <c r="A76" s="193"/>
      <c r="B76" s="204">
        <v>43403</v>
      </c>
      <c r="C76" s="204" t="s">
        <v>313</v>
      </c>
      <c r="D76" s="212" t="s">
        <v>314</v>
      </c>
      <c r="E76" s="213" t="s">
        <v>206</v>
      </c>
      <c r="F76" s="214"/>
      <c r="G76" s="208">
        <v>210</v>
      </c>
      <c r="H76" s="209">
        <v>42</v>
      </c>
      <c r="I76" s="185" t="s">
        <v>157</v>
      </c>
      <c r="J76" s="185">
        <v>1</v>
      </c>
    </row>
    <row r="77" spans="1:10" x14ac:dyDescent="0.55000000000000004">
      <c r="A77" s="193"/>
      <c r="B77" s="204">
        <v>43402</v>
      </c>
      <c r="C77" s="204" t="s">
        <v>315</v>
      </c>
      <c r="D77" s="212" t="s">
        <v>316</v>
      </c>
      <c r="E77" s="213" t="s">
        <v>206</v>
      </c>
      <c r="F77" s="214"/>
      <c r="G77" s="281">
        <v>600</v>
      </c>
      <c r="H77" s="209"/>
      <c r="I77" s="185" t="s">
        <v>157</v>
      </c>
      <c r="J77" s="185">
        <v>1</v>
      </c>
    </row>
    <row r="78" spans="1:10" x14ac:dyDescent="0.55000000000000004">
      <c r="A78" s="193"/>
      <c r="B78" s="204">
        <v>43382</v>
      </c>
      <c r="C78" s="204" t="s">
        <v>317</v>
      </c>
      <c r="D78" s="212" t="s">
        <v>46</v>
      </c>
      <c r="E78" s="213"/>
      <c r="F78" s="214">
        <v>0.56999999999999995</v>
      </c>
      <c r="G78" s="208"/>
      <c r="H78" s="209"/>
      <c r="I78" s="185" t="s">
        <v>5</v>
      </c>
      <c r="J78" s="185">
        <v>3</v>
      </c>
    </row>
    <row r="79" spans="1:10" x14ac:dyDescent="0.55000000000000004">
      <c r="A79" s="193"/>
      <c r="B79" s="204">
        <v>43392</v>
      </c>
      <c r="C79" s="204" t="s">
        <v>318</v>
      </c>
      <c r="D79" s="212" t="s">
        <v>319</v>
      </c>
      <c r="E79" s="213"/>
      <c r="F79" s="214">
        <v>320</v>
      </c>
      <c r="G79" s="208"/>
      <c r="H79" s="209"/>
      <c r="I79" s="185" t="s">
        <v>5</v>
      </c>
      <c r="J79" s="185">
        <v>5</v>
      </c>
    </row>
    <row r="80" spans="1:10" x14ac:dyDescent="0.55000000000000004">
      <c r="A80" s="193"/>
      <c r="B80" s="204"/>
      <c r="C80" s="204"/>
      <c r="D80" s="212"/>
      <c r="E80" s="213"/>
      <c r="F80" s="214"/>
      <c r="G80" s="281"/>
      <c r="H80" s="209"/>
    </row>
    <row r="81" spans="1:8" x14ac:dyDescent="0.55000000000000004">
      <c r="A81" s="193"/>
      <c r="B81" s="204"/>
      <c r="C81" s="204"/>
      <c r="D81" s="212"/>
      <c r="E81" s="213"/>
      <c r="F81" s="214"/>
      <c r="G81" s="208"/>
      <c r="H81" s="209"/>
    </row>
    <row r="82" spans="1:8" x14ac:dyDescent="0.55000000000000004">
      <c r="A82" s="193"/>
      <c r="B82" s="204"/>
      <c r="C82" s="204"/>
      <c r="D82" s="212"/>
      <c r="E82" s="213"/>
      <c r="F82" s="214"/>
      <c r="G82" s="208"/>
      <c r="H82" s="209"/>
    </row>
    <row r="83" spans="1:8" x14ac:dyDescent="0.55000000000000004">
      <c r="A83" s="193"/>
      <c r="B83" s="204"/>
      <c r="C83" s="204"/>
      <c r="D83" s="212"/>
      <c r="E83" s="213"/>
      <c r="F83" s="214"/>
      <c r="G83" s="208"/>
      <c r="H83" s="209"/>
    </row>
    <row r="84" spans="1:8" x14ac:dyDescent="0.55000000000000004">
      <c r="A84" s="193"/>
      <c r="B84" s="204"/>
      <c r="C84" s="204"/>
      <c r="D84" s="212"/>
      <c r="E84" s="213"/>
      <c r="F84" s="214"/>
      <c r="G84" s="208"/>
      <c r="H84" s="209"/>
    </row>
    <row r="85" spans="1:8" x14ac:dyDescent="0.55000000000000004">
      <c r="A85" s="193"/>
      <c r="B85" s="204"/>
      <c r="C85" s="204"/>
      <c r="D85" s="212"/>
      <c r="E85" s="213"/>
      <c r="F85" s="214"/>
      <c r="G85" s="208"/>
      <c r="H85" s="209"/>
    </row>
    <row r="86" spans="1:8" x14ac:dyDescent="0.55000000000000004">
      <c r="A86" s="193"/>
      <c r="B86" s="204"/>
      <c r="C86" s="204"/>
      <c r="D86" s="212"/>
      <c r="E86" s="213"/>
      <c r="F86" s="214"/>
      <c r="G86" s="208"/>
      <c r="H86" s="209"/>
    </row>
    <row r="87" spans="1:8" x14ac:dyDescent="0.55000000000000004">
      <c r="A87" s="193"/>
      <c r="B87" s="204"/>
      <c r="C87" s="204"/>
      <c r="D87" s="212"/>
      <c r="E87" s="213"/>
      <c r="F87" s="214"/>
      <c r="G87" s="208"/>
      <c r="H87" s="209"/>
    </row>
    <row r="88" spans="1:8" x14ac:dyDescent="0.55000000000000004">
      <c r="A88" s="193"/>
      <c r="B88" s="204"/>
      <c r="C88" s="204"/>
      <c r="D88" s="212"/>
      <c r="E88" s="213"/>
      <c r="F88" s="214"/>
      <c r="G88" s="208"/>
      <c r="H88" s="209"/>
    </row>
    <row r="89" spans="1:8" x14ac:dyDescent="0.55000000000000004">
      <c r="A89" s="193"/>
      <c r="B89" s="204"/>
      <c r="C89" s="204"/>
      <c r="D89" s="212"/>
      <c r="E89" s="213"/>
      <c r="F89" s="214"/>
      <c r="G89" s="208"/>
      <c r="H89" s="209"/>
    </row>
    <row r="90" spans="1:8" x14ac:dyDescent="0.55000000000000004">
      <c r="A90" s="193"/>
      <c r="B90" s="204"/>
      <c r="C90" s="204"/>
      <c r="D90" s="212"/>
      <c r="E90" s="213"/>
      <c r="F90" s="214"/>
      <c r="G90" s="208"/>
      <c r="H90" s="209"/>
    </row>
    <row r="91" spans="1:8" x14ac:dyDescent="0.55000000000000004">
      <c r="A91" s="193"/>
      <c r="B91" s="204"/>
      <c r="C91" s="204"/>
      <c r="D91" s="212"/>
      <c r="E91" s="213"/>
      <c r="F91" s="214"/>
      <c r="G91" s="208"/>
      <c r="H91" s="209"/>
    </row>
    <row r="92" spans="1:8" x14ac:dyDescent="0.55000000000000004">
      <c r="A92" s="193"/>
      <c r="B92" s="204"/>
      <c r="C92" s="204"/>
      <c r="D92" s="212"/>
      <c r="E92" s="213"/>
      <c r="F92" s="214"/>
      <c r="G92" s="208"/>
      <c r="H92" s="209"/>
    </row>
    <row r="93" spans="1:8" x14ac:dyDescent="0.55000000000000004">
      <c r="A93" s="193"/>
      <c r="B93" s="204"/>
      <c r="C93" s="204"/>
      <c r="D93" s="212"/>
      <c r="E93" s="213"/>
      <c r="F93" s="214"/>
      <c r="G93" s="208"/>
      <c r="H93" s="209"/>
    </row>
    <row r="94" spans="1:8" x14ac:dyDescent="0.55000000000000004">
      <c r="A94" s="193"/>
      <c r="B94" s="204"/>
      <c r="C94" s="204"/>
      <c r="D94" s="212"/>
      <c r="E94" s="213"/>
      <c r="F94" s="214"/>
      <c r="G94" s="208"/>
      <c r="H94" s="209"/>
    </row>
    <row r="95" spans="1:8" x14ac:dyDescent="0.55000000000000004">
      <c r="A95" s="193"/>
      <c r="B95" s="204"/>
      <c r="C95" s="204"/>
      <c r="D95" s="212"/>
      <c r="E95" s="213"/>
      <c r="F95" s="214"/>
      <c r="G95" s="208"/>
      <c r="H95" s="209"/>
    </row>
    <row r="96" spans="1:8" x14ac:dyDescent="0.55000000000000004">
      <c r="A96" s="193"/>
      <c r="B96" s="204"/>
      <c r="C96" s="204"/>
      <c r="D96" s="212"/>
      <c r="E96" s="213"/>
      <c r="F96" s="214"/>
      <c r="G96" s="208"/>
      <c r="H96" s="209"/>
    </row>
    <row r="97" spans="1:8" x14ac:dyDescent="0.55000000000000004">
      <c r="A97" s="193"/>
      <c r="B97" s="204"/>
      <c r="C97" s="204"/>
      <c r="D97" s="212"/>
      <c r="E97" s="213"/>
      <c r="F97" s="214"/>
      <c r="G97" s="208"/>
      <c r="H97" s="209"/>
    </row>
    <row r="98" spans="1:8" x14ac:dyDescent="0.55000000000000004">
      <c r="A98" s="193"/>
      <c r="B98" s="204"/>
      <c r="C98" s="204"/>
      <c r="D98" s="212"/>
      <c r="E98" s="213"/>
      <c r="F98" s="214"/>
      <c r="G98" s="208"/>
      <c r="H98" s="209"/>
    </row>
    <row r="99" spans="1:8" x14ac:dyDescent="0.55000000000000004">
      <c r="A99" s="193"/>
      <c r="B99" s="204"/>
      <c r="C99" s="204"/>
      <c r="D99" s="212"/>
      <c r="E99" s="213"/>
      <c r="F99" s="214"/>
      <c r="G99" s="208"/>
      <c r="H99" s="209"/>
    </row>
    <row r="100" spans="1:8" x14ac:dyDescent="0.55000000000000004">
      <c r="A100" s="193"/>
      <c r="B100" s="204"/>
      <c r="C100" s="204"/>
      <c r="D100" s="212"/>
      <c r="E100" s="213"/>
      <c r="F100" s="214"/>
      <c r="G100" s="208"/>
      <c r="H100" s="209"/>
    </row>
    <row r="101" spans="1:8" x14ac:dyDescent="0.55000000000000004">
      <c r="A101" s="193"/>
      <c r="B101" s="204"/>
      <c r="C101" s="204"/>
      <c r="D101" s="212"/>
      <c r="E101" s="213"/>
      <c r="F101" s="214"/>
      <c r="G101" s="208"/>
      <c r="H101" s="209"/>
    </row>
    <row r="102" spans="1:8" x14ac:dyDescent="0.55000000000000004">
      <c r="A102" s="193"/>
      <c r="B102" s="204"/>
      <c r="C102" s="204"/>
      <c r="D102" s="212"/>
      <c r="E102" s="213"/>
      <c r="F102" s="214"/>
      <c r="G102" s="208"/>
      <c r="H102" s="209"/>
    </row>
    <row r="103" spans="1:8" x14ac:dyDescent="0.55000000000000004">
      <c r="A103" s="193"/>
      <c r="B103" s="204"/>
      <c r="C103" s="204"/>
      <c r="D103" s="212"/>
      <c r="E103" s="213"/>
      <c r="F103" s="214"/>
      <c r="G103" s="208"/>
      <c r="H103" s="209"/>
    </row>
    <row r="104" spans="1:8" x14ac:dyDescent="0.55000000000000004">
      <c r="A104" s="193"/>
      <c r="B104" s="204"/>
      <c r="C104" s="204"/>
      <c r="D104" s="212"/>
      <c r="E104" s="213"/>
      <c r="F104" s="214"/>
      <c r="G104" s="208"/>
      <c r="H104" s="209"/>
    </row>
    <row r="105" spans="1:8" x14ac:dyDescent="0.55000000000000004">
      <c r="A105" s="193"/>
      <c r="B105" s="204"/>
      <c r="C105" s="204"/>
      <c r="D105" s="212"/>
      <c r="E105" s="213"/>
      <c r="F105" s="214"/>
      <c r="G105" s="208"/>
      <c r="H105" s="209"/>
    </row>
    <row r="106" spans="1:8" x14ac:dyDescent="0.55000000000000004">
      <c r="A106" s="193"/>
      <c r="B106" s="204"/>
      <c r="C106" s="204"/>
      <c r="D106" s="212"/>
      <c r="E106" s="213"/>
      <c r="F106" s="214"/>
      <c r="G106" s="208"/>
      <c r="H106" s="209"/>
    </row>
    <row r="107" spans="1:8" x14ac:dyDescent="0.55000000000000004">
      <c r="A107" s="193"/>
      <c r="B107" s="204"/>
      <c r="C107" s="204"/>
      <c r="D107" s="212"/>
      <c r="E107" s="213"/>
      <c r="F107" s="214"/>
      <c r="G107" s="208"/>
      <c r="H107" s="209"/>
    </row>
    <row r="108" spans="1:8" x14ac:dyDescent="0.55000000000000004">
      <c r="A108" s="193"/>
      <c r="B108" s="204"/>
      <c r="C108" s="204"/>
      <c r="D108" s="212"/>
      <c r="E108" s="213"/>
      <c r="F108" s="214"/>
      <c r="G108" s="208"/>
      <c r="H108" s="209"/>
    </row>
    <row r="109" spans="1:8" x14ac:dyDescent="0.55000000000000004">
      <c r="A109" s="193"/>
      <c r="B109" s="204"/>
      <c r="C109" s="204"/>
      <c r="D109" s="212"/>
      <c r="E109" s="213"/>
      <c r="F109" s="214"/>
      <c r="G109" s="208"/>
      <c r="H109" s="209"/>
    </row>
    <row r="110" spans="1:8" x14ac:dyDescent="0.55000000000000004">
      <c r="A110" s="193"/>
      <c r="B110" s="204"/>
      <c r="C110" s="204"/>
      <c r="D110" s="212"/>
      <c r="E110" s="213"/>
      <c r="F110" s="214"/>
      <c r="G110" s="208"/>
      <c r="H110" s="209"/>
    </row>
    <row r="111" spans="1:8" x14ac:dyDescent="0.55000000000000004">
      <c r="A111" s="193"/>
      <c r="B111" s="204"/>
      <c r="C111" s="204"/>
      <c r="D111" s="212"/>
      <c r="E111" s="213"/>
      <c r="F111" s="214"/>
      <c r="G111" s="208"/>
      <c r="H111" s="209"/>
    </row>
    <row r="112" spans="1:8" x14ac:dyDescent="0.55000000000000004">
      <c r="A112" s="193"/>
      <c r="B112" s="204"/>
      <c r="C112" s="204"/>
      <c r="D112" s="212"/>
      <c r="E112" s="213"/>
      <c r="F112" s="214"/>
      <c r="G112" s="208"/>
      <c r="H112" s="209"/>
    </row>
    <row r="113" spans="1:8" x14ac:dyDescent="0.55000000000000004">
      <c r="A113" s="193"/>
      <c r="B113" s="204"/>
      <c r="C113" s="204"/>
      <c r="D113" s="212"/>
      <c r="E113" s="213"/>
      <c r="F113" s="214"/>
      <c r="G113" s="208"/>
      <c r="H113" s="209"/>
    </row>
    <row r="114" spans="1:8" x14ac:dyDescent="0.55000000000000004">
      <c r="A114" s="193"/>
      <c r="B114" s="204"/>
      <c r="C114" s="204"/>
      <c r="D114" s="212"/>
      <c r="E114" s="213"/>
      <c r="F114" s="214"/>
      <c r="G114" s="208"/>
      <c r="H114" s="209"/>
    </row>
    <row r="115" spans="1:8" x14ac:dyDescent="0.55000000000000004">
      <c r="A115" s="193"/>
      <c r="B115" s="204"/>
      <c r="C115" s="204"/>
      <c r="D115" s="212"/>
      <c r="E115" s="213"/>
      <c r="F115" s="214"/>
      <c r="G115" s="208"/>
      <c r="H115" s="209"/>
    </row>
    <row r="116" spans="1:8" x14ac:dyDescent="0.55000000000000004">
      <c r="A116" s="193"/>
      <c r="B116" s="204"/>
      <c r="C116" s="204"/>
      <c r="D116" s="212"/>
      <c r="E116" s="213"/>
      <c r="F116" s="214"/>
      <c r="G116" s="208"/>
      <c r="H116" s="209"/>
    </row>
    <row r="117" spans="1:8" x14ac:dyDescent="0.55000000000000004">
      <c r="A117" s="193"/>
      <c r="B117" s="204"/>
      <c r="C117" s="204"/>
      <c r="D117" s="212"/>
      <c r="E117" s="213"/>
      <c r="F117" s="214"/>
      <c r="G117" s="208"/>
      <c r="H117" s="209"/>
    </row>
    <row r="118" spans="1:8" x14ac:dyDescent="0.55000000000000004">
      <c r="A118" s="193"/>
      <c r="B118" s="204"/>
      <c r="C118" s="204"/>
      <c r="D118" s="212"/>
      <c r="E118" s="213"/>
      <c r="F118" s="214"/>
      <c r="G118" s="208"/>
      <c r="H118" s="209"/>
    </row>
    <row r="119" spans="1:8" x14ac:dyDescent="0.55000000000000004">
      <c r="A119" s="193"/>
      <c r="B119" s="204"/>
      <c r="C119" s="204"/>
      <c r="D119" s="212"/>
      <c r="E119" s="213"/>
      <c r="F119" s="214"/>
      <c r="G119" s="208"/>
      <c r="H119" s="209"/>
    </row>
    <row r="120" spans="1:8" x14ac:dyDescent="0.55000000000000004">
      <c r="A120" s="193"/>
      <c r="B120" s="204"/>
      <c r="C120" s="204"/>
      <c r="D120" s="212"/>
      <c r="E120" s="213"/>
      <c r="F120" s="214"/>
      <c r="G120" s="208"/>
      <c r="H120" s="209"/>
    </row>
    <row r="121" spans="1:8" x14ac:dyDescent="0.55000000000000004">
      <c r="A121" s="193"/>
      <c r="B121" s="204"/>
      <c r="C121" s="204"/>
      <c r="D121" s="212"/>
      <c r="E121" s="213"/>
      <c r="F121" s="214"/>
      <c r="G121" s="208"/>
      <c r="H121" s="209"/>
    </row>
    <row r="122" spans="1:8" x14ac:dyDescent="0.55000000000000004">
      <c r="A122" s="193"/>
      <c r="B122" s="204"/>
      <c r="C122" s="204"/>
      <c r="D122" s="212"/>
      <c r="E122" s="213"/>
      <c r="F122" s="214"/>
      <c r="G122" s="208"/>
      <c r="H122" s="209"/>
    </row>
    <row r="123" spans="1:8" x14ac:dyDescent="0.55000000000000004">
      <c r="A123" s="193"/>
      <c r="B123" s="204"/>
      <c r="C123" s="204"/>
      <c r="D123" s="212"/>
      <c r="E123" s="213"/>
      <c r="F123" s="214"/>
      <c r="G123" s="208"/>
      <c r="H123" s="209"/>
    </row>
    <row r="124" spans="1:8" x14ac:dyDescent="0.55000000000000004">
      <c r="A124" s="193"/>
      <c r="B124" s="204"/>
      <c r="C124" s="204"/>
      <c r="D124" s="212"/>
      <c r="E124" s="213"/>
      <c r="F124" s="214"/>
      <c r="G124" s="208"/>
      <c r="H124" s="209"/>
    </row>
    <row r="125" spans="1:8" x14ac:dyDescent="0.55000000000000004">
      <c r="A125" s="193"/>
      <c r="B125" s="204"/>
      <c r="C125" s="204"/>
      <c r="D125" s="212"/>
      <c r="E125" s="213"/>
      <c r="F125" s="214"/>
      <c r="G125" s="208"/>
      <c r="H125" s="209"/>
    </row>
    <row r="126" spans="1:8" x14ac:dyDescent="0.55000000000000004">
      <c r="A126" s="193"/>
      <c r="B126" s="204"/>
      <c r="C126" s="204"/>
      <c r="D126" s="212"/>
      <c r="E126" s="213"/>
      <c r="F126" s="214"/>
      <c r="G126" s="208"/>
      <c r="H126" s="209"/>
    </row>
    <row r="127" spans="1:8" x14ac:dyDescent="0.55000000000000004">
      <c r="A127" s="193"/>
      <c r="B127" s="204"/>
      <c r="C127" s="204"/>
      <c r="D127" s="212"/>
      <c r="E127" s="213"/>
      <c r="F127" s="214"/>
      <c r="G127" s="208"/>
      <c r="H127" s="209"/>
    </row>
    <row r="128" spans="1:8" x14ac:dyDescent="0.55000000000000004">
      <c r="A128" s="193"/>
      <c r="B128" s="204"/>
      <c r="C128" s="204"/>
      <c r="D128" s="212"/>
      <c r="E128" s="213"/>
      <c r="F128" s="214"/>
      <c r="G128" s="208"/>
      <c r="H128" s="209"/>
    </row>
    <row r="129" spans="1:8" x14ac:dyDescent="0.55000000000000004">
      <c r="A129" s="193"/>
      <c r="B129" s="204"/>
      <c r="C129" s="204"/>
      <c r="D129" s="212"/>
      <c r="E129" s="213"/>
      <c r="F129" s="214"/>
      <c r="G129" s="208"/>
      <c r="H129" s="209"/>
    </row>
    <row r="130" spans="1:8" x14ac:dyDescent="0.55000000000000004">
      <c r="A130" s="193"/>
      <c r="B130" s="204"/>
      <c r="C130" s="204"/>
      <c r="D130" s="212"/>
      <c r="E130" s="213"/>
      <c r="F130" s="214"/>
      <c r="G130" s="208"/>
      <c r="H130" s="209"/>
    </row>
    <row r="131" spans="1:8" x14ac:dyDescent="0.55000000000000004">
      <c r="A131" s="193"/>
      <c r="B131" s="204"/>
      <c r="C131" s="204"/>
      <c r="D131" s="212"/>
      <c r="E131" s="213"/>
      <c r="F131" s="214"/>
      <c r="G131" s="208"/>
      <c r="H131" s="209"/>
    </row>
    <row r="132" spans="1:8" x14ac:dyDescent="0.55000000000000004">
      <c r="A132" s="193"/>
      <c r="B132" s="204"/>
      <c r="C132" s="204"/>
      <c r="D132" s="212"/>
      <c r="E132" s="213"/>
      <c r="F132" s="214"/>
      <c r="G132" s="208"/>
      <c r="H132" s="209"/>
    </row>
    <row r="133" spans="1:8" x14ac:dyDescent="0.55000000000000004">
      <c r="A133" s="193"/>
      <c r="B133" s="204"/>
      <c r="C133" s="204"/>
      <c r="D133" s="212"/>
      <c r="E133" s="213"/>
      <c r="F133" s="214"/>
      <c r="G133" s="208"/>
      <c r="H133" s="209"/>
    </row>
    <row r="134" spans="1:8" x14ac:dyDescent="0.55000000000000004">
      <c r="A134" s="193"/>
      <c r="B134" s="204"/>
      <c r="C134" s="204"/>
      <c r="D134" s="212"/>
      <c r="E134" s="213"/>
      <c r="F134" s="214"/>
      <c r="G134" s="208"/>
      <c r="H134" s="209"/>
    </row>
    <row r="135" spans="1:8" x14ac:dyDescent="0.55000000000000004">
      <c r="A135" s="193"/>
      <c r="B135" s="204"/>
      <c r="C135" s="204"/>
      <c r="D135" s="212"/>
      <c r="E135" s="213"/>
      <c r="F135" s="214"/>
      <c r="G135" s="208"/>
      <c r="H135" s="209"/>
    </row>
    <row r="136" spans="1:8" x14ac:dyDescent="0.55000000000000004">
      <c r="A136" s="193"/>
      <c r="B136" s="204"/>
      <c r="C136" s="204"/>
      <c r="D136" s="212"/>
      <c r="E136" s="213"/>
      <c r="F136" s="214"/>
      <c r="G136" s="208"/>
      <c r="H136" s="209"/>
    </row>
    <row r="137" spans="1:8" x14ac:dyDescent="0.55000000000000004">
      <c r="A137" s="193"/>
      <c r="B137" s="204"/>
      <c r="C137" s="204"/>
      <c r="D137" s="212"/>
      <c r="E137" s="213"/>
      <c r="F137" s="214"/>
      <c r="G137" s="208"/>
      <c r="H137" s="209"/>
    </row>
    <row r="138" spans="1:8" x14ac:dyDescent="0.55000000000000004">
      <c r="A138" s="193"/>
      <c r="B138" s="204"/>
      <c r="C138" s="204"/>
      <c r="D138" s="212"/>
      <c r="E138" s="213"/>
      <c r="F138" s="214"/>
      <c r="G138" s="208"/>
      <c r="H138" s="209"/>
    </row>
    <row r="139" spans="1:8" x14ac:dyDescent="0.55000000000000004">
      <c r="A139" s="193"/>
      <c r="B139" s="204"/>
      <c r="C139" s="204"/>
      <c r="D139" s="212"/>
      <c r="E139" s="213"/>
      <c r="F139" s="214"/>
      <c r="G139" s="208"/>
      <c r="H139" s="209"/>
    </row>
    <row r="140" spans="1:8" x14ac:dyDescent="0.55000000000000004">
      <c r="A140" s="193"/>
      <c r="B140" s="204"/>
      <c r="C140" s="204"/>
      <c r="D140" s="212"/>
      <c r="E140" s="213"/>
      <c r="F140" s="214"/>
      <c r="G140" s="208"/>
      <c r="H140" s="209"/>
    </row>
    <row r="141" spans="1:8" x14ac:dyDescent="0.55000000000000004">
      <c r="A141" s="193"/>
      <c r="B141" s="204"/>
      <c r="C141" s="204"/>
      <c r="D141" s="212"/>
      <c r="E141" s="213"/>
      <c r="F141" s="214"/>
      <c r="G141" s="208"/>
      <c r="H141" s="209"/>
    </row>
    <row r="142" spans="1:8" x14ac:dyDescent="0.55000000000000004">
      <c r="A142" s="193"/>
      <c r="B142" s="204"/>
      <c r="C142" s="204"/>
      <c r="D142" s="212"/>
      <c r="E142" s="213"/>
      <c r="F142" s="214"/>
      <c r="G142" s="208"/>
      <c r="H142" s="209"/>
    </row>
    <row r="143" spans="1:8" x14ac:dyDescent="0.55000000000000004">
      <c r="A143" s="193"/>
      <c r="B143" s="204"/>
      <c r="C143" s="204"/>
      <c r="D143" s="212"/>
      <c r="E143" s="213"/>
      <c r="F143" s="214"/>
      <c r="G143" s="208"/>
      <c r="H143" s="209"/>
    </row>
    <row r="144" spans="1:8" x14ac:dyDescent="0.55000000000000004">
      <c r="A144" s="193"/>
      <c r="B144" s="204"/>
      <c r="C144" s="204"/>
      <c r="D144" s="212"/>
      <c r="E144" s="213"/>
      <c r="F144" s="214"/>
      <c r="G144" s="208"/>
      <c r="H144" s="209"/>
    </row>
    <row r="145" spans="1:15" x14ac:dyDescent="0.55000000000000004">
      <c r="A145" s="193"/>
      <c r="B145" s="204"/>
      <c r="C145" s="204"/>
      <c r="D145" s="212"/>
      <c r="E145" s="213"/>
      <c r="F145" s="214"/>
      <c r="G145" s="208"/>
      <c r="H145" s="209"/>
    </row>
    <row r="146" spans="1:15" x14ac:dyDescent="0.55000000000000004">
      <c r="A146" s="193"/>
      <c r="B146" s="204"/>
      <c r="C146" s="204"/>
      <c r="D146" s="212"/>
      <c r="E146" s="213"/>
      <c r="F146" s="214"/>
      <c r="G146" s="208"/>
      <c r="H146" s="209"/>
    </row>
    <row r="147" spans="1:15" x14ac:dyDescent="0.55000000000000004">
      <c r="A147" s="193"/>
      <c r="B147" s="204"/>
      <c r="C147" s="204"/>
      <c r="D147" s="212"/>
      <c r="E147" s="213"/>
      <c r="F147" s="214"/>
      <c r="G147" s="208"/>
      <c r="H147" s="209"/>
    </row>
    <row r="148" spans="1:15" x14ac:dyDescent="0.55000000000000004">
      <c r="A148" s="193"/>
      <c r="B148" s="204"/>
      <c r="C148" s="204"/>
      <c r="D148" s="212"/>
      <c r="E148" s="213"/>
      <c r="F148" s="214"/>
      <c r="G148" s="208"/>
      <c r="H148" s="209"/>
    </row>
    <row r="149" spans="1:15" x14ac:dyDescent="0.55000000000000004">
      <c r="A149" s="193"/>
      <c r="B149" s="204"/>
      <c r="C149" s="204"/>
      <c r="D149" s="212"/>
      <c r="E149" s="213"/>
      <c r="F149" s="214"/>
      <c r="G149" s="208"/>
      <c r="H149" s="209"/>
    </row>
    <row r="150" spans="1:15" x14ac:dyDescent="0.55000000000000004">
      <c r="A150" s="193"/>
      <c r="B150" s="204"/>
      <c r="C150" s="204"/>
      <c r="D150" s="212"/>
      <c r="E150" s="213"/>
      <c r="F150" s="214"/>
      <c r="G150" s="208"/>
      <c r="H150" s="209"/>
    </row>
    <row r="151" spans="1:15" x14ac:dyDescent="0.55000000000000004">
      <c r="A151" s="193"/>
      <c r="B151" s="204"/>
      <c r="C151" s="204"/>
      <c r="D151" s="212"/>
      <c r="E151" s="213"/>
      <c r="F151" s="214"/>
      <c r="G151" s="208"/>
      <c r="H151" s="209"/>
    </row>
    <row r="152" spans="1:15" x14ac:dyDescent="0.55000000000000004">
      <c r="A152" s="193"/>
      <c r="B152" s="204"/>
      <c r="C152" s="204"/>
      <c r="D152" s="212"/>
      <c r="E152" s="213"/>
      <c r="F152" s="214"/>
      <c r="G152" s="208"/>
      <c r="H152" s="209"/>
    </row>
    <row r="153" spans="1:15" x14ac:dyDescent="0.55000000000000004">
      <c r="A153" s="193"/>
      <c r="B153" s="204"/>
      <c r="C153" s="204"/>
      <c r="D153" s="212"/>
      <c r="E153" s="213"/>
      <c r="F153" s="214"/>
      <c r="G153" s="208"/>
      <c r="H153" s="236"/>
    </row>
    <row r="154" spans="1:15" x14ac:dyDescent="0.55000000000000004">
      <c r="A154" s="193"/>
      <c r="B154" s="237"/>
      <c r="C154" s="237"/>
      <c r="D154" s="238" t="s">
        <v>50</v>
      </c>
      <c r="E154" s="239"/>
      <c r="F154" s="240">
        <f>SUM(F7:F153)</f>
        <v>31832.71</v>
      </c>
      <c r="G154" s="241">
        <f>SUM(G7:G153)</f>
        <v>15185.989999999998</v>
      </c>
      <c r="H154" s="241">
        <f t="shared" ref="H154" si="0">SUM(H7:H153)</f>
        <v>1163.0700000000004</v>
      </c>
    </row>
    <row r="155" spans="1:15" x14ac:dyDescent="0.55000000000000004">
      <c r="A155" s="193"/>
      <c r="B155" s="242"/>
      <c r="C155" s="242"/>
      <c r="D155" s="243"/>
      <c r="E155" s="244" t="s">
        <v>41</v>
      </c>
      <c r="F155" s="245"/>
      <c r="G155" s="246"/>
      <c r="H155" s="247"/>
    </row>
    <row r="156" spans="1:15" x14ac:dyDescent="0.55000000000000004">
      <c r="A156" s="193"/>
      <c r="B156" s="248" t="s">
        <v>42</v>
      </c>
      <c r="C156" s="248"/>
      <c r="D156" s="248" t="s">
        <v>43</v>
      </c>
      <c r="E156" s="249" t="s">
        <v>44</v>
      </c>
      <c r="F156" s="250" t="s">
        <v>45</v>
      </c>
      <c r="G156" s="249" t="s">
        <v>41</v>
      </c>
      <c r="H156" s="251" t="s">
        <v>48</v>
      </c>
    </row>
    <row r="157" spans="1:15" x14ac:dyDescent="0.55000000000000004">
      <c r="B157" s="252"/>
      <c r="C157" s="252"/>
      <c r="D157" s="253"/>
      <c r="E157" s="254"/>
      <c r="F157" s="255"/>
      <c r="G157" s="255"/>
      <c r="H157" s="256"/>
    </row>
    <row r="158" spans="1:15" x14ac:dyDescent="0.55000000000000004">
      <c r="B158" s="252"/>
      <c r="C158" s="252"/>
      <c r="D158" s="257" t="s">
        <v>0</v>
      </c>
      <c r="E158" s="258"/>
      <c r="F158" s="259"/>
      <c r="G158" s="260"/>
      <c r="H158" s="236" t="s">
        <v>51</v>
      </c>
      <c r="K158" s="283">
        <v>18018.04</v>
      </c>
    </row>
    <row r="159" spans="1:15" x14ac:dyDescent="0.55000000000000004">
      <c r="B159" s="252"/>
      <c r="C159" s="252"/>
      <c r="D159" s="261" t="s">
        <v>49</v>
      </c>
      <c r="E159" s="262"/>
      <c r="F159" s="263">
        <f>SUM(F6)</f>
        <v>2728.45</v>
      </c>
      <c r="G159" s="260"/>
      <c r="H159" s="236" t="s">
        <v>53</v>
      </c>
      <c r="K159" s="283">
        <v>194.06</v>
      </c>
      <c r="N159" s="236"/>
      <c r="O159" s="236">
        <v>616.42999999999995</v>
      </c>
    </row>
    <row r="160" spans="1:15" x14ac:dyDescent="0.55000000000000004">
      <c r="B160" s="252"/>
      <c r="C160" s="252"/>
      <c r="D160" s="261"/>
      <c r="E160" s="262"/>
      <c r="F160" s="263"/>
      <c r="G160" s="260"/>
      <c r="H160" s="264" t="s">
        <v>54</v>
      </c>
      <c r="I160" s="188"/>
      <c r="N160" s="236"/>
      <c r="O160" s="236">
        <v>2112.02</v>
      </c>
    </row>
    <row r="161" spans="2:15" x14ac:dyDescent="0.55000000000000004">
      <c r="B161" s="252"/>
      <c r="C161" s="252"/>
      <c r="D161" s="261" t="s">
        <v>55</v>
      </c>
      <c r="E161" s="262"/>
      <c r="F161" s="263">
        <f>SUM(F154)</f>
        <v>31832.71</v>
      </c>
      <c r="G161" s="260"/>
      <c r="N161" s="264"/>
      <c r="O161" s="265"/>
    </row>
    <row r="162" spans="2:15" x14ac:dyDescent="0.55000000000000004">
      <c r="B162" s="252"/>
      <c r="C162" s="252"/>
      <c r="D162" s="261" t="s">
        <v>56</v>
      </c>
      <c r="E162" s="262"/>
      <c r="F162" s="263">
        <f>SUM(G154)</f>
        <v>15185.989999999998</v>
      </c>
      <c r="G162" s="260"/>
      <c r="H162" s="256" t="s">
        <v>102</v>
      </c>
      <c r="I162" s="256"/>
      <c r="O162" s="266">
        <f>SUM(O159:O161)</f>
        <v>2728.45</v>
      </c>
    </row>
    <row r="163" spans="2:15" x14ac:dyDescent="0.55000000000000004">
      <c r="B163" s="267"/>
      <c r="C163" s="267"/>
      <c r="D163" s="261"/>
      <c r="E163" s="262"/>
      <c r="F163" s="268"/>
      <c r="G163" s="260"/>
      <c r="N163" s="189"/>
      <c r="O163" s="236">
        <v>0</v>
      </c>
    </row>
    <row r="164" spans="2:15" x14ac:dyDescent="0.55000000000000004">
      <c r="B164" s="269"/>
      <c r="C164" s="269"/>
      <c r="D164" s="270" t="s">
        <v>52</v>
      </c>
      <c r="E164" s="271"/>
      <c r="F164" s="272">
        <f>SUM(F159+F161-F162+F163)</f>
        <v>19375.169999999998</v>
      </c>
      <c r="G164" s="260"/>
      <c r="H164" s="236" t="s">
        <v>101</v>
      </c>
      <c r="I164" s="256"/>
      <c r="O164" s="273">
        <f>SUM(O162-O163)</f>
        <v>2728.45</v>
      </c>
    </row>
    <row r="165" spans="2:15" x14ac:dyDescent="0.55000000000000004">
      <c r="B165" s="269"/>
      <c r="C165" s="269"/>
      <c r="H165" s="274" t="s">
        <v>58</v>
      </c>
      <c r="I165" s="274"/>
      <c r="K165" s="283">
        <f>SUM(K158:K164)</f>
        <v>18212.100000000002</v>
      </c>
      <c r="O165" s="275"/>
    </row>
    <row r="166" spans="2:15" ht="14.7" thickBot="1" x14ac:dyDescent="0.6">
      <c r="B166" s="269"/>
      <c r="C166" s="269"/>
      <c r="O166" s="276">
        <f>SUM(O164+O165)</f>
        <v>2728.45</v>
      </c>
    </row>
    <row r="167" spans="2:15" x14ac:dyDescent="0.55000000000000004">
      <c r="B167" s="269"/>
      <c r="C167" s="269"/>
      <c r="H167" s="185" t="s">
        <v>254</v>
      </c>
      <c r="K167" s="282">
        <f>H154</f>
        <v>1163.0700000000004</v>
      </c>
    </row>
    <row r="168" spans="2:15" x14ac:dyDescent="0.55000000000000004">
      <c r="B168" s="269"/>
      <c r="C168" s="269"/>
      <c r="E168" s="236"/>
      <c r="H168" s="236"/>
      <c r="O168" s="277">
        <f>SUM(O166)-F164</f>
        <v>-16646.719999999998</v>
      </c>
    </row>
    <row r="169" spans="2:15" x14ac:dyDescent="0.55000000000000004">
      <c r="B169" s="269"/>
      <c r="C169" s="269"/>
      <c r="E169" s="236"/>
    </row>
    <row r="170" spans="2:15" x14ac:dyDescent="0.55000000000000004">
      <c r="B170" s="269"/>
      <c r="C170" s="269"/>
      <c r="E170" s="190"/>
      <c r="I170" s="321" t="s">
        <v>100</v>
      </c>
      <c r="J170" s="321"/>
    </row>
    <row r="171" spans="2:15" x14ac:dyDescent="0.55000000000000004">
      <c r="B171" s="269"/>
      <c r="C171" s="269"/>
      <c r="F171" s="191"/>
    </row>
    <row r="172" spans="2:15" x14ac:dyDescent="0.55000000000000004">
      <c r="F172" s="191"/>
      <c r="H172" s="192"/>
    </row>
    <row r="173" spans="2:15" x14ac:dyDescent="0.55000000000000004">
      <c r="F173" s="191"/>
    </row>
    <row r="174" spans="2:15" x14ac:dyDescent="0.55000000000000004">
      <c r="F174" s="191"/>
    </row>
    <row r="176" spans="2:15" x14ac:dyDescent="0.55000000000000004">
      <c r="F176" s="191"/>
    </row>
  </sheetData>
  <autoFilter ref="B5:J156"/>
  <mergeCells count="4">
    <mergeCell ref="G4:H4"/>
    <mergeCell ref="B4:E4"/>
    <mergeCell ref="B2:H2"/>
    <mergeCell ref="I170:J170"/>
  </mergeCells>
  <phoneticPr fontId="6" type="noConversion"/>
  <conditionalFormatting sqref="O168">
    <cfRule type="cellIs" dxfId="6" priority="8" stopIfTrue="1" operator="notEqual">
      <formula>0</formula>
    </cfRule>
  </conditionalFormatting>
  <conditionalFormatting sqref="I6:J153">
    <cfRule type="expression" dxfId="5" priority="1">
      <formula>$I6="Memberships"</formula>
    </cfRule>
    <cfRule type="expression" dxfId="4" priority="2">
      <formula>$I6="Audit and legal"</formula>
    </cfRule>
    <cfRule type="expression" dxfId="3" priority="4">
      <formula>$I6="Running costs"</formula>
    </cfRule>
    <cfRule type="expression" dxfId="2" priority="5">
      <formula>$I6="Maintenance"</formula>
    </cfRule>
    <cfRule type="expression" dxfId="1" priority="6">
      <formula>$I6="Projects"</formula>
    </cfRule>
    <cfRule type="expression" dxfId="0" priority="7">
      <formula>$I6="Community fund"</formula>
    </cfRule>
  </conditionalFormatting>
  <dataValidations count="2">
    <dataValidation type="list" allowBlank="1" showInputMessage="1" showErrorMessage="1" sqref="I6:I153">
      <formula1>Budget_Lines</formula1>
    </dataValidation>
    <dataValidation type="list" allowBlank="1" showInputMessage="1" showErrorMessage="1" sqref="J6:J153">
      <formula1>Sub_categories</formula1>
    </dataValidation>
  </dataValidations>
  <printOptions headings="1"/>
  <pageMargins left="0.04" right="0.04" top="0.16" bottom="0.16" header="0.12000000000000001" footer="0.12000000000000001"/>
  <pageSetup paperSize="9" scale="88" fitToHeight="4" orientation="landscape" r:id="rId1"/>
  <ignoredErrors>
    <ignoredError sqref="F164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B1" zoomScaleNormal="100" workbookViewId="0">
      <pane xSplit="6" ySplit="3" topLeftCell="H36" activePane="bottomRight" state="frozen"/>
      <selection activeCell="B1" sqref="B1"/>
      <selection pane="topRight" activeCell="G1" sqref="G1"/>
      <selection pane="bottomLeft" activeCell="B4" sqref="B4"/>
      <selection pane="bottomRight" activeCell="J54" sqref="J54"/>
    </sheetView>
  </sheetViews>
  <sheetFormatPr defaultColWidth="11.44140625" defaultRowHeight="12.9" x14ac:dyDescent="0.5"/>
  <cols>
    <col min="1" max="1" width="22.83203125" style="76" customWidth="1"/>
    <col min="2" max="2" width="4.71875" style="63" customWidth="1"/>
    <col min="3" max="3" width="24.44140625" style="68" customWidth="1"/>
    <col min="4" max="4" width="11" style="68" customWidth="1"/>
    <col min="5" max="11" width="11" style="76" customWidth="1"/>
    <col min="12" max="12" width="39.5546875" style="76" customWidth="1"/>
    <col min="13" max="16384" width="11.44140625" style="76"/>
  </cols>
  <sheetData>
    <row r="1" spans="1:12" x14ac:dyDescent="0.5">
      <c r="A1" s="75" t="s">
        <v>94</v>
      </c>
      <c r="B1" s="61"/>
      <c r="D1" s="64"/>
      <c r="E1" s="65"/>
    </row>
    <row r="2" spans="1:12" x14ac:dyDescent="0.5">
      <c r="D2" s="76"/>
      <c r="E2" s="77"/>
      <c r="G2" s="66"/>
      <c r="H2" s="66"/>
      <c r="I2" s="66"/>
      <c r="J2" s="66"/>
      <c r="K2" s="66"/>
      <c r="L2" s="67"/>
    </row>
    <row r="3" spans="1:12" ht="55.2" x14ac:dyDescent="0.5">
      <c r="B3" s="62" t="s">
        <v>161</v>
      </c>
      <c r="D3" s="69" t="s">
        <v>111</v>
      </c>
      <c r="E3" s="69" t="s">
        <v>112</v>
      </c>
      <c r="F3" s="70" t="s">
        <v>113</v>
      </c>
      <c r="G3" s="70" t="s">
        <v>138</v>
      </c>
      <c r="H3" s="70" t="s">
        <v>141</v>
      </c>
      <c r="I3" s="70" t="s">
        <v>150</v>
      </c>
      <c r="J3" s="71" t="s">
        <v>196</v>
      </c>
      <c r="K3" s="70" t="s">
        <v>197</v>
      </c>
      <c r="L3" s="72" t="s">
        <v>78</v>
      </c>
    </row>
    <row r="4" spans="1:12" ht="38.700000000000003" x14ac:dyDescent="0.5">
      <c r="A4" s="78"/>
      <c r="B4" s="135">
        <v>1</v>
      </c>
      <c r="C4" s="164" t="s">
        <v>151</v>
      </c>
      <c r="D4" s="79">
        <v>10000</v>
      </c>
      <c r="E4" s="80">
        <v>10000</v>
      </c>
      <c r="F4" s="73">
        <v>10000</v>
      </c>
      <c r="G4" s="81">
        <v>8200</v>
      </c>
      <c r="H4" s="81">
        <v>2000</v>
      </c>
      <c r="I4" s="81">
        <v>2000</v>
      </c>
      <c r="J4" s="152">
        <f>SUMIFS(Cashbook!$G$7:$G$153,Cashbook!$I$7:$I$153,"Community fund",Cashbook!$J$7:$J$153,1)</f>
        <v>1662.0900000000001</v>
      </c>
      <c r="K4" s="81"/>
      <c r="L4" s="82" t="s">
        <v>173</v>
      </c>
    </row>
    <row r="5" spans="1:12" x14ac:dyDescent="0.5">
      <c r="A5" s="78"/>
      <c r="B5" s="135">
        <v>2</v>
      </c>
      <c r="C5" s="124" t="s">
        <v>93</v>
      </c>
      <c r="D5" s="79"/>
      <c r="E5" s="80">
        <v>3000</v>
      </c>
      <c r="F5" s="73">
        <v>3000</v>
      </c>
      <c r="G5" s="81">
        <v>1000</v>
      </c>
      <c r="H5" s="81">
        <v>500</v>
      </c>
      <c r="I5" s="81"/>
      <c r="J5" s="152">
        <f>SUMIFS(Cashbook!$G$7:$G$153,Cashbook!$I$7:$I$153,"Community fund",Cashbook!$J$7:$J$153,2)</f>
        <v>0</v>
      </c>
      <c r="K5" s="81"/>
      <c r="L5" s="83" t="s">
        <v>182</v>
      </c>
    </row>
    <row r="6" spans="1:12" x14ac:dyDescent="0.5">
      <c r="A6" s="78"/>
      <c r="B6" s="135">
        <v>3</v>
      </c>
      <c r="C6" s="124" t="s">
        <v>47</v>
      </c>
      <c r="D6" s="79"/>
      <c r="E6" s="80"/>
      <c r="F6" s="73"/>
      <c r="G6" s="81"/>
      <c r="H6" s="81">
        <v>10176</v>
      </c>
      <c r="I6" s="81"/>
      <c r="J6" s="152">
        <f>SUMIFS(Cashbook!$G$7:$G$153,Cashbook!$I$7:$I$153,"Community fund",Cashbook!$J$7:$J$153,3)</f>
        <v>0</v>
      </c>
      <c r="K6" s="184"/>
      <c r="L6" s="83" t="s">
        <v>198</v>
      </c>
    </row>
    <row r="7" spans="1:12" x14ac:dyDescent="0.5">
      <c r="A7" s="78"/>
      <c r="B7" s="135">
        <v>4</v>
      </c>
      <c r="C7" s="158" t="s">
        <v>179</v>
      </c>
      <c r="D7" s="162"/>
      <c r="E7" s="163"/>
      <c r="F7" s="104"/>
      <c r="G7" s="105"/>
      <c r="H7" s="105"/>
      <c r="I7" s="105">
        <v>1000</v>
      </c>
      <c r="J7" s="152">
        <f>SUMIFS(Cashbook!$G$7:$G$153,Cashbook!$I$7:$I$153,"Community fund",Cashbook!$J$7:$J$153,4)</f>
        <v>0</v>
      </c>
      <c r="K7" s="168"/>
      <c r="L7" s="83"/>
    </row>
    <row r="8" spans="1:12" x14ac:dyDescent="0.5">
      <c r="A8" s="78"/>
      <c r="B8" s="135">
        <v>5</v>
      </c>
      <c r="C8" s="158" t="s">
        <v>181</v>
      </c>
      <c r="D8" s="162"/>
      <c r="E8" s="163"/>
      <c r="F8" s="104"/>
      <c r="G8" s="105"/>
      <c r="H8" s="105"/>
      <c r="I8" s="105"/>
      <c r="J8" s="152">
        <f>SUMIFS(Cashbook!$G$7:$G$153,Cashbook!$I$7:$I$153,"Community fund",Cashbook!$J$7:$J$153,5)</f>
        <v>0</v>
      </c>
      <c r="K8" s="168"/>
      <c r="L8" s="83" t="s">
        <v>184</v>
      </c>
    </row>
    <row r="9" spans="1:12" ht="13.2" thickBot="1" x14ac:dyDescent="0.55000000000000004">
      <c r="A9" s="78"/>
      <c r="B9" s="135">
        <v>6</v>
      </c>
      <c r="C9" s="125" t="s">
        <v>153</v>
      </c>
      <c r="D9" s="85"/>
      <c r="E9" s="86"/>
      <c r="F9" s="87"/>
      <c r="G9" s="88"/>
      <c r="H9" s="88">
        <v>11305</v>
      </c>
      <c r="I9" s="88">
        <v>500</v>
      </c>
      <c r="J9" s="153">
        <f>SUMIFS(Cashbook!$G$7:$G$153,Cashbook!$I$7:$I$153,"Community fund",Cashbook!$J$7:$J$153,6)</f>
        <v>547.5</v>
      </c>
      <c r="K9" s="88"/>
      <c r="L9" s="83"/>
    </row>
    <row r="10" spans="1:12" x14ac:dyDescent="0.5">
      <c r="A10" s="78"/>
      <c r="B10" s="135"/>
      <c r="C10" s="126" t="s">
        <v>92</v>
      </c>
      <c r="D10" s="89">
        <f t="shared" ref="D10:G10" si="0">SUM(D4:D9)</f>
        <v>10000</v>
      </c>
      <c r="E10" s="89">
        <f t="shared" si="0"/>
        <v>13000</v>
      </c>
      <c r="F10" s="89">
        <f t="shared" si="0"/>
        <v>13000</v>
      </c>
      <c r="G10" s="89">
        <f t="shared" si="0"/>
        <v>9200</v>
      </c>
      <c r="H10" s="89">
        <f>SUM(H4:H9)</f>
        <v>23981</v>
      </c>
      <c r="I10" s="89">
        <v>3500</v>
      </c>
      <c r="J10" s="154">
        <f t="shared" ref="J10:K10" si="1">SUM(J4:J9)</f>
        <v>2209.59</v>
      </c>
      <c r="K10" s="89">
        <f t="shared" si="1"/>
        <v>0</v>
      </c>
      <c r="L10" s="90"/>
    </row>
    <row r="11" spans="1:12" x14ac:dyDescent="0.5">
      <c r="A11" s="78"/>
      <c r="B11" s="139"/>
      <c r="C11" s="127"/>
      <c r="D11" s="79"/>
      <c r="E11" s="80"/>
      <c r="F11" s="73"/>
      <c r="G11" s="81"/>
      <c r="H11" s="81"/>
      <c r="I11" s="81"/>
      <c r="J11" s="152"/>
      <c r="K11" s="81"/>
      <c r="L11" s="83"/>
    </row>
    <row r="12" spans="1:12" x14ac:dyDescent="0.5">
      <c r="A12" s="91" t="s">
        <v>12</v>
      </c>
      <c r="B12" s="139">
        <v>1</v>
      </c>
      <c r="C12" s="128" t="s">
        <v>114</v>
      </c>
      <c r="D12" s="79"/>
      <c r="E12" s="80">
        <v>5000</v>
      </c>
      <c r="F12" s="73">
        <v>5000</v>
      </c>
      <c r="G12" s="81">
        <v>2000</v>
      </c>
      <c r="H12" s="81">
        <v>500</v>
      </c>
      <c r="I12" s="81">
        <v>0</v>
      </c>
      <c r="J12" s="152">
        <f>SUMIFS(Cashbook!$G$7:$G$153,Cashbook!$I$7:$I$153,"Projects",Cashbook!$J$7:$J$153,1)</f>
        <v>0</v>
      </c>
      <c r="K12" s="81">
        <v>0</v>
      </c>
      <c r="L12" s="83" t="s">
        <v>142</v>
      </c>
    </row>
    <row r="13" spans="1:12" ht="25.8" x14ac:dyDescent="0.5">
      <c r="A13" s="78"/>
      <c r="B13" s="139">
        <v>2</v>
      </c>
      <c r="C13" s="124" t="s">
        <v>115</v>
      </c>
      <c r="D13" s="79"/>
      <c r="E13" s="80"/>
      <c r="F13" s="73">
        <v>50</v>
      </c>
      <c r="G13" s="81">
        <v>200</v>
      </c>
      <c r="H13" s="81">
        <v>1000</v>
      </c>
      <c r="I13" s="81">
        <v>1000</v>
      </c>
      <c r="J13" s="152">
        <f>SUMIFS(Cashbook!$G$7:$G$153,Cashbook!$I$7:$I$153,"Projects",Cashbook!$J$7:$J$153,2)</f>
        <v>580.84</v>
      </c>
      <c r="K13" s="81"/>
      <c r="L13" s="83" t="s">
        <v>174</v>
      </c>
    </row>
    <row r="14" spans="1:12" ht="25.8" x14ac:dyDescent="0.5">
      <c r="A14" s="78"/>
      <c r="B14" s="139">
        <v>3</v>
      </c>
      <c r="C14" s="124" t="s">
        <v>116</v>
      </c>
      <c r="D14" s="79"/>
      <c r="E14" s="80"/>
      <c r="F14" s="73">
        <v>150</v>
      </c>
      <c r="G14" s="81">
        <v>150</v>
      </c>
      <c r="H14" s="81">
        <v>200</v>
      </c>
      <c r="I14" s="81">
        <v>0</v>
      </c>
      <c r="J14" s="152">
        <f>SUMIFS(Cashbook!$G$7:$G$153,Cashbook!$I$7:$I$153,"Projects",Cashbook!$J$7:$J$153,3)</f>
        <v>0</v>
      </c>
      <c r="K14" s="81"/>
      <c r="L14" s="83" t="s">
        <v>175</v>
      </c>
    </row>
    <row r="15" spans="1:12" x14ac:dyDescent="0.5">
      <c r="A15" s="78"/>
      <c r="B15" s="139">
        <v>4</v>
      </c>
      <c r="C15" s="124" t="s">
        <v>117</v>
      </c>
      <c r="D15" s="92"/>
      <c r="E15" s="80">
        <v>600</v>
      </c>
      <c r="F15" s="73">
        <v>560</v>
      </c>
      <c r="G15" s="81">
        <v>1560</v>
      </c>
      <c r="H15" s="81">
        <v>1060</v>
      </c>
      <c r="I15" s="81">
        <v>1060</v>
      </c>
      <c r="J15" s="152">
        <f>SUMIFS(Cashbook!$G$7:$G$153,Cashbook!$I$7:$I$153,"Projects",Cashbook!$J$7:$J$153,4)</f>
        <v>0</v>
      </c>
      <c r="K15" s="81"/>
      <c r="L15" s="82"/>
    </row>
    <row r="16" spans="1:12" x14ac:dyDescent="0.5">
      <c r="A16" s="78"/>
      <c r="B16" s="139">
        <v>5</v>
      </c>
      <c r="C16" s="124" t="s">
        <v>118</v>
      </c>
      <c r="D16" s="93"/>
      <c r="E16" s="94"/>
      <c r="F16" s="73">
        <v>1626</v>
      </c>
      <c r="G16" s="81">
        <v>3000</v>
      </c>
      <c r="H16" s="81">
        <v>3000</v>
      </c>
      <c r="I16" s="81">
        <v>4000</v>
      </c>
      <c r="J16" s="152">
        <f>SUMIFS(Cashbook!$G$7:$G$153,Cashbook!$I$7:$I$153,"Projects",Cashbook!$J$7:$J$153,5)</f>
        <v>2055.0499999999997</v>
      </c>
      <c r="K16" s="81"/>
      <c r="L16" s="83"/>
    </row>
    <row r="17" spans="1:12" x14ac:dyDescent="0.5">
      <c r="A17" s="78"/>
      <c r="B17" s="139">
        <v>6</v>
      </c>
      <c r="C17" s="124" t="s">
        <v>128</v>
      </c>
      <c r="D17" s="92"/>
      <c r="E17" s="80"/>
      <c r="F17" s="73">
        <v>1000</v>
      </c>
      <c r="G17" s="81">
        <v>1000</v>
      </c>
      <c r="H17" s="81">
        <v>2300</v>
      </c>
      <c r="I17" s="81">
        <v>100</v>
      </c>
      <c r="J17" s="152">
        <f>SUMIFS(Cashbook!$G$7:$G$153,Cashbook!$I$7:$I$153,"Projects",Cashbook!$J$7:$J$153,6)</f>
        <v>0</v>
      </c>
      <c r="K17" s="81"/>
      <c r="L17" s="82"/>
    </row>
    <row r="18" spans="1:12" x14ac:dyDescent="0.5">
      <c r="A18" s="78"/>
      <c r="B18" s="139">
        <v>7</v>
      </c>
      <c r="C18" s="124" t="s">
        <v>129</v>
      </c>
      <c r="D18" s="92"/>
      <c r="E18" s="80"/>
      <c r="F18" s="73">
        <v>250</v>
      </c>
      <c r="G18" s="81">
        <v>250</v>
      </c>
      <c r="H18" s="81">
        <v>0</v>
      </c>
      <c r="I18" s="81">
        <v>0</v>
      </c>
      <c r="J18" s="152">
        <f>SUMIFS(Cashbook!$G$7:$G$153,Cashbook!$I$7:$I$153,"Projects",Cashbook!$J$7:$J$153,7)</f>
        <v>0</v>
      </c>
      <c r="K18" s="81"/>
      <c r="L18" s="82"/>
    </row>
    <row r="19" spans="1:12" x14ac:dyDescent="0.5">
      <c r="A19" s="78"/>
      <c r="B19" s="139">
        <v>8</v>
      </c>
      <c r="C19" s="124" t="s">
        <v>130</v>
      </c>
      <c r="D19" s="92"/>
      <c r="E19" s="80"/>
      <c r="F19" s="73">
        <v>250</v>
      </c>
      <c r="G19" s="81">
        <v>250</v>
      </c>
      <c r="H19" s="81">
        <v>250</v>
      </c>
      <c r="I19" s="81">
        <v>250</v>
      </c>
      <c r="J19" s="152">
        <f>SUMIFS(Cashbook!$G$7:$G$153,Cashbook!$I$7:$I$153,"Projects",Cashbook!$J$7:$J$153,8)</f>
        <v>0</v>
      </c>
      <c r="K19" s="81"/>
      <c r="L19" s="82" t="s">
        <v>119</v>
      </c>
    </row>
    <row r="20" spans="1:12" x14ac:dyDescent="0.5">
      <c r="A20" s="78"/>
      <c r="B20" s="139">
        <v>9</v>
      </c>
      <c r="C20" s="124" t="s">
        <v>120</v>
      </c>
      <c r="D20" s="92"/>
      <c r="E20" s="80"/>
      <c r="F20" s="73">
        <v>500</v>
      </c>
      <c r="G20" s="81">
        <v>500</v>
      </c>
      <c r="H20" s="81">
        <v>500</v>
      </c>
      <c r="I20" s="81"/>
      <c r="J20" s="152">
        <f>SUMIFS(Cashbook!$G$7:$G$153,Cashbook!$I$7:$I$153,"Projects",Cashbook!$J$7:$J$153,9)</f>
        <v>585</v>
      </c>
      <c r="K20" s="81"/>
      <c r="L20" s="82" t="s">
        <v>121</v>
      </c>
    </row>
    <row r="21" spans="1:12" x14ac:dyDescent="0.5">
      <c r="A21" s="78"/>
      <c r="B21" s="139">
        <v>10</v>
      </c>
      <c r="C21" s="124" t="s">
        <v>145</v>
      </c>
      <c r="D21" s="95"/>
      <c r="E21" s="96"/>
      <c r="F21" s="97"/>
      <c r="G21" s="98"/>
      <c r="H21" s="81">
        <v>11305</v>
      </c>
      <c r="I21" s="81">
        <v>5000</v>
      </c>
      <c r="J21" s="152">
        <f>SUMIFS(Cashbook!$G$7:$G$153,Cashbook!$I$7:$I$153,"Projects",Cashbook!$J$7:$J$153,10)</f>
        <v>3645.3</v>
      </c>
      <c r="K21" s="81"/>
      <c r="L21" s="83"/>
    </row>
    <row r="22" spans="1:12" ht="13.2" thickBot="1" x14ac:dyDescent="0.55000000000000004">
      <c r="A22" s="78"/>
      <c r="B22" s="160">
        <v>12</v>
      </c>
      <c r="C22" s="125" t="s">
        <v>170</v>
      </c>
      <c r="D22" s="161"/>
      <c r="E22" s="86"/>
      <c r="F22" s="87"/>
      <c r="G22" s="88"/>
      <c r="H22" s="88"/>
      <c r="I22" s="88"/>
      <c r="J22" s="153">
        <f>SUMIFS(Cashbook!$G$7:$G$153,Cashbook!$I$7:$I$153,"Projects",Cashbook!$J$7:$J$153,12)</f>
        <v>0</v>
      </c>
      <c r="K22" s="88"/>
      <c r="L22" s="83"/>
    </row>
    <row r="23" spans="1:12" x14ac:dyDescent="0.5">
      <c r="A23" s="78"/>
      <c r="B23" s="159"/>
      <c r="C23" s="140" t="s">
        <v>91</v>
      </c>
      <c r="D23" s="89">
        <f>SUM(D11:D22)</f>
        <v>0</v>
      </c>
      <c r="E23" s="89">
        <f>SUM(E11:E22)</f>
        <v>5600</v>
      </c>
      <c r="F23" s="89">
        <f>SUM(F11:F22)</f>
        <v>9386</v>
      </c>
      <c r="G23" s="89">
        <f>SUM(G11:G22)</f>
        <v>8910</v>
      </c>
      <c r="H23" s="89">
        <f>SUM(H11:H22)</f>
        <v>20115</v>
      </c>
      <c r="I23" s="89">
        <v>11410</v>
      </c>
      <c r="J23" s="154">
        <f>SUM(J12:J22)</f>
        <v>6866.1900000000005</v>
      </c>
      <c r="K23" s="155">
        <f>SUM(K12:K22)</f>
        <v>0</v>
      </c>
      <c r="L23" s="90"/>
    </row>
    <row r="24" spans="1:12" x14ac:dyDescent="0.5">
      <c r="A24" s="78"/>
      <c r="B24" s="146"/>
      <c r="C24" s="127"/>
      <c r="D24" s="99"/>
      <c r="E24" s="80"/>
      <c r="F24" s="73"/>
      <c r="G24" s="81"/>
      <c r="H24" s="81"/>
      <c r="I24" s="81"/>
      <c r="J24" s="152"/>
      <c r="K24" s="81"/>
      <c r="L24" s="83"/>
    </row>
    <row r="25" spans="1:12" x14ac:dyDescent="0.5">
      <c r="A25" s="91" t="s">
        <v>13</v>
      </c>
      <c r="B25" s="146">
        <v>1</v>
      </c>
      <c r="C25" s="124" t="s">
        <v>80</v>
      </c>
      <c r="D25" s="79">
        <v>4300</v>
      </c>
      <c r="E25" s="80">
        <v>6000</v>
      </c>
      <c r="F25" s="73">
        <v>6000</v>
      </c>
      <c r="G25" s="81">
        <v>4000</v>
      </c>
      <c r="H25" s="81">
        <v>5000</v>
      </c>
      <c r="I25" s="81">
        <v>4000</v>
      </c>
      <c r="J25" s="152">
        <f>SUMIFS(Cashbook!$G$7:$G$153,Cashbook!$I$7:$I$153,"Maintenance",Cashbook!$J$7:$J$153,1)</f>
        <v>2870</v>
      </c>
      <c r="K25" s="81"/>
      <c r="L25" s="83" t="s">
        <v>146</v>
      </c>
    </row>
    <row r="26" spans="1:12" x14ac:dyDescent="0.5">
      <c r="A26" s="78"/>
      <c r="B26" s="146">
        <v>2</v>
      </c>
      <c r="C26" s="124" t="s">
        <v>14</v>
      </c>
      <c r="D26" s="79">
        <v>1000</v>
      </c>
      <c r="E26" s="80">
        <v>1000</v>
      </c>
      <c r="F26" s="73">
        <v>1000</v>
      </c>
      <c r="G26" s="81">
        <v>1000</v>
      </c>
      <c r="H26" s="81">
        <v>500</v>
      </c>
      <c r="I26" s="81">
        <v>500</v>
      </c>
      <c r="J26" s="152">
        <f>SUMIFS(Cashbook!$G$7:$G$153,Cashbook!$I$7:$I$153,"Maintenance",Cashbook!$J$7:$J$153,2)</f>
        <v>0</v>
      </c>
      <c r="K26" s="81"/>
      <c r="L26" s="83" t="s">
        <v>131</v>
      </c>
    </row>
    <row r="27" spans="1:12" ht="13.2" thickBot="1" x14ac:dyDescent="0.55000000000000004">
      <c r="A27" s="78"/>
      <c r="B27" s="146">
        <v>3</v>
      </c>
      <c r="C27" s="84" t="s">
        <v>164</v>
      </c>
      <c r="D27" s="85"/>
      <c r="E27" s="86"/>
      <c r="F27" s="87"/>
      <c r="G27" s="88"/>
      <c r="H27" s="88"/>
      <c r="I27" s="88">
        <v>100</v>
      </c>
      <c r="J27" s="153">
        <f>SUMIFS(Cashbook!$G$7:$G$153,Cashbook!$I$7:$I$153,"Maintenance",Cashbook!$J$7:$J$153,3)</f>
        <v>0</v>
      </c>
      <c r="K27" s="88"/>
      <c r="L27" s="83" t="s">
        <v>176</v>
      </c>
    </row>
    <row r="28" spans="1:12" x14ac:dyDescent="0.5">
      <c r="A28" s="78"/>
      <c r="B28" s="146"/>
      <c r="C28" s="147" t="s">
        <v>90</v>
      </c>
      <c r="D28" s="100">
        <f>SUM(D25:D26)</f>
        <v>5300</v>
      </c>
      <c r="E28" s="89">
        <f>SUM(E25:E26)</f>
        <v>7000</v>
      </c>
      <c r="F28" s="89">
        <f>SUM(F25:F26)</f>
        <v>7000</v>
      </c>
      <c r="G28" s="89">
        <f>SUM(G25:G26)</f>
        <v>5000</v>
      </c>
      <c r="H28" s="89">
        <f>SUM(H25:H26)</f>
        <v>5500</v>
      </c>
      <c r="I28" s="89">
        <v>4600</v>
      </c>
      <c r="J28" s="154">
        <f>SUM(J25:J27)</f>
        <v>2870</v>
      </c>
      <c r="K28" s="89">
        <f>SUM(K25:K27)</f>
        <v>0</v>
      </c>
      <c r="L28" s="90"/>
    </row>
    <row r="29" spans="1:12" x14ac:dyDescent="0.5">
      <c r="A29" s="78"/>
      <c r="B29" s="141"/>
      <c r="C29" s="127"/>
      <c r="D29" s="99"/>
      <c r="E29" s="80"/>
      <c r="F29" s="73"/>
      <c r="G29" s="81"/>
      <c r="H29" s="81"/>
      <c r="I29" s="81"/>
      <c r="J29" s="152"/>
      <c r="K29" s="81"/>
      <c r="L29" s="83"/>
    </row>
    <row r="30" spans="1:12" x14ac:dyDescent="0.5">
      <c r="A30" s="91" t="s">
        <v>15</v>
      </c>
      <c r="B30" s="142">
        <v>1</v>
      </c>
      <c r="C30" s="128" t="s">
        <v>11</v>
      </c>
      <c r="D30" s="79">
        <v>8000</v>
      </c>
      <c r="E30" s="80">
        <v>7000</v>
      </c>
      <c r="F30" s="73">
        <v>4000</v>
      </c>
      <c r="G30" s="81">
        <v>6500</v>
      </c>
      <c r="H30" s="81">
        <v>6500</v>
      </c>
      <c r="I30" s="81">
        <v>4000</v>
      </c>
      <c r="J30" s="152">
        <f>SUMIFS(Cashbook!$G$7:$G$153,Cashbook!$I$7:$I$153,"Running costs",Cashbook!$J$7:$J$153,1)</f>
        <v>1568.96</v>
      </c>
      <c r="K30" s="81"/>
      <c r="L30" s="83"/>
    </row>
    <row r="31" spans="1:12" x14ac:dyDescent="0.5">
      <c r="A31" s="78"/>
      <c r="B31" s="141">
        <v>2</v>
      </c>
      <c r="C31" s="128" t="s">
        <v>16</v>
      </c>
      <c r="D31" s="79">
        <v>270</v>
      </c>
      <c r="E31" s="80">
        <v>400</v>
      </c>
      <c r="F31" s="73">
        <v>1000</v>
      </c>
      <c r="G31" s="81">
        <v>1000</v>
      </c>
      <c r="H31" s="81">
        <v>1000</v>
      </c>
      <c r="I31" s="81"/>
      <c r="J31" s="152">
        <f>SUMIFS(Cashbook!$G$7:$G$153,Cashbook!$I$7:$I$153,"Running costs",Cashbook!$J$7:$J$153,2)</f>
        <v>0</v>
      </c>
      <c r="K31" s="81"/>
      <c r="L31" s="83" t="s">
        <v>183</v>
      </c>
    </row>
    <row r="32" spans="1:12" x14ac:dyDescent="0.5">
      <c r="A32" s="78"/>
      <c r="B32" s="141">
        <v>3</v>
      </c>
      <c r="C32" s="124" t="s">
        <v>132</v>
      </c>
      <c r="D32" s="79">
        <v>200</v>
      </c>
      <c r="E32" s="80">
        <v>200</v>
      </c>
      <c r="F32" s="73">
        <v>200</v>
      </c>
      <c r="G32" s="81"/>
      <c r="H32" s="81"/>
      <c r="I32" s="81"/>
      <c r="J32" s="152">
        <f>SUMIFS(Cashbook!$G$7:$G$153,Cashbook!$I$7:$I$153,"Running costs",Cashbook!$J$7:$J$153,3)</f>
        <v>45.33</v>
      </c>
      <c r="K32" s="81"/>
      <c r="L32" s="83"/>
    </row>
    <row r="33" spans="1:12" x14ac:dyDescent="0.5">
      <c r="A33" s="78"/>
      <c r="B33" s="141">
        <v>4</v>
      </c>
      <c r="C33" s="124" t="s">
        <v>163</v>
      </c>
      <c r="D33" s="79">
        <v>320</v>
      </c>
      <c r="E33" s="80">
        <v>300</v>
      </c>
      <c r="F33" s="73">
        <v>300</v>
      </c>
      <c r="G33" s="81">
        <v>0</v>
      </c>
      <c r="H33" s="81"/>
      <c r="I33" s="81">
        <v>300</v>
      </c>
      <c r="J33" s="152">
        <f>SUMIFS(Cashbook!$G$7:$G$153,Cashbook!$I$7:$I$153,"Running costs",Cashbook!$J$7:$J$153,4)</f>
        <v>164.5</v>
      </c>
      <c r="K33" s="81"/>
      <c r="L33" s="83" t="s">
        <v>165</v>
      </c>
    </row>
    <row r="34" spans="1:12" x14ac:dyDescent="0.5">
      <c r="A34" s="78"/>
      <c r="B34" s="141">
        <v>5</v>
      </c>
      <c r="C34" s="124" t="s">
        <v>133</v>
      </c>
      <c r="D34" s="79"/>
      <c r="E34" s="80"/>
      <c r="F34" s="73"/>
      <c r="G34" s="81">
        <v>50</v>
      </c>
      <c r="H34" s="81">
        <v>50</v>
      </c>
      <c r="I34" s="81">
        <v>150</v>
      </c>
      <c r="J34" s="152">
        <f>SUMIFS(Cashbook!$G$7:$G$153,Cashbook!$I$7:$I$153,"Running costs",Cashbook!$J$7:$J$153,5)</f>
        <v>0</v>
      </c>
      <c r="K34" s="81"/>
      <c r="L34" s="83"/>
    </row>
    <row r="35" spans="1:12" ht="25.8" x14ac:dyDescent="0.5">
      <c r="A35" s="78"/>
      <c r="B35" s="141">
        <v>6</v>
      </c>
      <c r="C35" s="124" t="s">
        <v>134</v>
      </c>
      <c r="D35" s="79"/>
      <c r="E35" s="80"/>
      <c r="F35" s="73"/>
      <c r="G35" s="81">
        <v>100</v>
      </c>
      <c r="H35" s="81">
        <v>100</v>
      </c>
      <c r="I35" s="81">
        <v>100</v>
      </c>
      <c r="J35" s="152">
        <f>SUMIFS(Cashbook!$G$7:$G$153,Cashbook!$I$7:$I$153,"Running costs",Cashbook!$J$7:$J$153,6)</f>
        <v>9.4</v>
      </c>
      <c r="K35" s="81"/>
      <c r="L35" s="83" t="s">
        <v>135</v>
      </c>
    </row>
    <row r="36" spans="1:12" x14ac:dyDescent="0.5">
      <c r="A36" s="78"/>
      <c r="B36" s="141">
        <v>7</v>
      </c>
      <c r="C36" s="124" t="s">
        <v>22</v>
      </c>
      <c r="D36" s="79">
        <v>320</v>
      </c>
      <c r="E36" s="80">
        <v>350</v>
      </c>
      <c r="F36" s="73">
        <v>500</v>
      </c>
      <c r="G36" s="81">
        <v>500</v>
      </c>
      <c r="H36" s="81">
        <v>500</v>
      </c>
      <c r="I36" s="81">
        <v>200</v>
      </c>
      <c r="J36" s="152">
        <f>SUMIFS(Cashbook!$G$7:$G$153,Cashbook!$I$7:$I$153,"Running costs",Cashbook!$J$7:$J$153,7)</f>
        <v>107.5</v>
      </c>
      <c r="K36" s="81"/>
      <c r="L36" s="83"/>
    </row>
    <row r="37" spans="1:12" ht="25.8" x14ac:dyDescent="0.5">
      <c r="A37" s="78"/>
      <c r="B37" s="141">
        <v>8</v>
      </c>
      <c r="C37" s="124" t="s">
        <v>81</v>
      </c>
      <c r="D37" s="79">
        <v>25</v>
      </c>
      <c r="E37" s="80">
        <v>25</v>
      </c>
      <c r="F37" s="73">
        <v>25</v>
      </c>
      <c r="G37" s="81">
        <v>25</v>
      </c>
      <c r="H37" s="81">
        <v>25</v>
      </c>
      <c r="I37" s="81">
        <v>25</v>
      </c>
      <c r="J37" s="152">
        <f>SUMIFS(Cashbook!$G$7:$G$153,Cashbook!$I$7:$I$153,"Running costs",Cashbook!$J$7:$J$153,8)</f>
        <v>0</v>
      </c>
      <c r="K37" s="81"/>
      <c r="L37" s="83" t="s">
        <v>136</v>
      </c>
    </row>
    <row r="38" spans="1:12" x14ac:dyDescent="0.5">
      <c r="A38" s="78"/>
      <c r="B38" s="141">
        <v>9</v>
      </c>
      <c r="C38" s="124" t="s">
        <v>23</v>
      </c>
      <c r="D38" s="79">
        <v>250</v>
      </c>
      <c r="E38" s="80">
        <v>250</v>
      </c>
      <c r="F38" s="73">
        <v>150</v>
      </c>
      <c r="G38" s="81">
        <v>150</v>
      </c>
      <c r="H38" s="81">
        <v>900.00149999999996</v>
      </c>
      <c r="I38" s="81">
        <v>300</v>
      </c>
      <c r="J38" s="152">
        <f>SUMIFS(Cashbook!$G$7:$G$153,Cashbook!$I$7:$I$153,"Running costs",Cashbook!$J$7:$J$153,9)</f>
        <v>0</v>
      </c>
      <c r="K38" s="81"/>
      <c r="L38" s="83" t="s">
        <v>177</v>
      </c>
    </row>
    <row r="39" spans="1:12" ht="38.700000000000003" x14ac:dyDescent="0.5">
      <c r="A39" s="91" t="s">
        <v>96</v>
      </c>
      <c r="B39" s="141">
        <v>10</v>
      </c>
      <c r="C39" s="124" t="s">
        <v>2</v>
      </c>
      <c r="D39" s="79">
        <v>400</v>
      </c>
      <c r="E39" s="80">
        <v>400</v>
      </c>
      <c r="F39" s="73">
        <v>400</v>
      </c>
      <c r="G39" s="81">
        <v>450</v>
      </c>
      <c r="H39" s="81">
        <v>900</v>
      </c>
      <c r="I39" s="81">
        <v>1300</v>
      </c>
      <c r="J39" s="152">
        <f>SUMIFS(Cashbook!$G$7:$G$153,Cashbook!$I$7:$I$153,"Running costs",Cashbook!$J$7:$J$153,10)</f>
        <v>417.58</v>
      </c>
      <c r="K39" s="81"/>
      <c r="L39" s="83" t="s">
        <v>147</v>
      </c>
    </row>
    <row r="40" spans="1:12" x14ac:dyDescent="0.5">
      <c r="A40" s="91"/>
      <c r="B40" s="141">
        <v>11</v>
      </c>
      <c r="C40" s="158" t="s">
        <v>24</v>
      </c>
      <c r="D40" s="162">
        <v>700</v>
      </c>
      <c r="E40" s="163">
        <v>700</v>
      </c>
      <c r="F40" s="104">
        <v>700</v>
      </c>
      <c r="G40" s="105">
        <v>1000</v>
      </c>
      <c r="H40" s="105">
        <v>1000</v>
      </c>
      <c r="I40" s="105">
        <v>700</v>
      </c>
      <c r="J40" s="156">
        <f>SUMIFS(Cashbook!$G$7:$G$153,Cashbook!$I$7:$I$153,"Running costs",Cashbook!$J$7:$J$153,11)</f>
        <v>407.94000000000005</v>
      </c>
      <c r="K40" s="105"/>
      <c r="L40" s="83"/>
    </row>
    <row r="41" spans="1:12" ht="13.2" thickBot="1" x14ac:dyDescent="0.55000000000000004">
      <c r="A41" s="78"/>
      <c r="B41" s="141">
        <v>12</v>
      </c>
      <c r="C41" s="125" t="s">
        <v>47</v>
      </c>
      <c r="D41" s="85"/>
      <c r="E41" s="86"/>
      <c r="F41" s="87"/>
      <c r="G41" s="88"/>
      <c r="H41" s="88"/>
      <c r="I41" s="88"/>
      <c r="J41" s="153">
        <f>SUMIFS(Cashbook!$G$7:$G$153,Cashbook!$I$7:$I$153,"Running costs",Cashbook!$J$7:$J$153,12)</f>
        <v>0</v>
      </c>
      <c r="K41" s="88"/>
      <c r="L41" s="83"/>
    </row>
    <row r="42" spans="1:12" x14ac:dyDescent="0.5">
      <c r="A42" s="78"/>
      <c r="B42" s="141"/>
      <c r="C42" s="143" t="s">
        <v>89</v>
      </c>
      <c r="D42" s="100">
        <f>SUM(D30:D41)</f>
        <v>10485</v>
      </c>
      <c r="E42" s="100">
        <f>SUM(E30:E41)</f>
        <v>9625</v>
      </c>
      <c r="F42" s="100">
        <f>SUM(F30:F41)</f>
        <v>7275</v>
      </c>
      <c r="G42" s="100">
        <f>SUM(G30:G41)</f>
        <v>9775</v>
      </c>
      <c r="H42" s="100">
        <f>SUM(H30:H41)</f>
        <v>10975.0015</v>
      </c>
      <c r="I42" s="100">
        <v>7075</v>
      </c>
      <c r="J42" s="154">
        <f>SUM(J30:J41)</f>
        <v>2721.21</v>
      </c>
      <c r="K42" s="100">
        <f>SUM(K30:K41)</f>
        <v>0</v>
      </c>
      <c r="L42" s="90"/>
    </row>
    <row r="43" spans="1:12" x14ac:dyDescent="0.5">
      <c r="A43" s="78"/>
      <c r="B43" s="136"/>
      <c r="C43" s="129"/>
      <c r="D43" s="101"/>
      <c r="E43" s="94"/>
      <c r="F43" s="73"/>
      <c r="G43" s="81"/>
      <c r="H43" s="81"/>
      <c r="I43" s="81"/>
      <c r="J43" s="152"/>
      <c r="K43" s="81"/>
      <c r="L43" s="83"/>
    </row>
    <row r="44" spans="1:12" x14ac:dyDescent="0.5">
      <c r="A44" s="91" t="s">
        <v>10</v>
      </c>
      <c r="B44" s="137">
        <v>1</v>
      </c>
      <c r="C44" s="124" t="s">
        <v>17</v>
      </c>
      <c r="D44" s="79">
        <v>260</v>
      </c>
      <c r="E44" s="80">
        <v>250</v>
      </c>
      <c r="F44" s="73">
        <v>275</v>
      </c>
      <c r="G44" s="81">
        <v>300</v>
      </c>
      <c r="H44" s="81">
        <v>290</v>
      </c>
      <c r="I44" s="81">
        <v>300</v>
      </c>
      <c r="J44" s="152">
        <f>SUMIFS(Cashbook!$G$7:$G$153,Cashbook!$I$7:$I$153,"Memberships",Cashbook!$J$7:$J$153,1)</f>
        <v>0</v>
      </c>
      <c r="K44" s="81"/>
      <c r="L44" s="83"/>
    </row>
    <row r="45" spans="1:12" x14ac:dyDescent="0.5">
      <c r="A45" s="78"/>
      <c r="B45" s="144">
        <v>2</v>
      </c>
      <c r="C45" s="124" t="s">
        <v>18</v>
      </c>
      <c r="D45" s="79">
        <v>150</v>
      </c>
      <c r="E45" s="80">
        <v>140</v>
      </c>
      <c r="F45" s="73"/>
      <c r="G45" s="81">
        <v>150</v>
      </c>
      <c r="H45" s="81">
        <v>78</v>
      </c>
      <c r="I45" s="81">
        <v>80</v>
      </c>
      <c r="J45" s="152">
        <f>SUMIFS(Cashbook!$G$7:$G$153,Cashbook!$I$7:$I$153,"Memberships",Cashbook!$J$7:$J$153,2)</f>
        <v>84</v>
      </c>
      <c r="K45" s="81"/>
      <c r="L45" s="83"/>
    </row>
    <row r="46" spans="1:12" x14ac:dyDescent="0.5">
      <c r="A46" s="78"/>
      <c r="B46" s="144">
        <v>3</v>
      </c>
      <c r="C46" s="124" t="s">
        <v>19</v>
      </c>
      <c r="D46" s="79">
        <v>35</v>
      </c>
      <c r="E46" s="80">
        <v>35</v>
      </c>
      <c r="F46" s="73">
        <v>30</v>
      </c>
      <c r="G46" s="81">
        <v>50</v>
      </c>
      <c r="H46" s="81">
        <v>50</v>
      </c>
      <c r="I46" s="81">
        <v>50</v>
      </c>
      <c r="J46" s="152">
        <f>SUMIFS(Cashbook!$G$7:$G$153,Cashbook!$I$7:$I$153,"Memberships",Cashbook!$J$7:$J$153,3)</f>
        <v>0</v>
      </c>
      <c r="K46" s="81"/>
      <c r="L46" s="83"/>
    </row>
    <row r="47" spans="1:12" x14ac:dyDescent="0.5">
      <c r="A47" s="78"/>
      <c r="B47" s="144">
        <v>4</v>
      </c>
      <c r="C47" s="124" t="s">
        <v>20</v>
      </c>
      <c r="D47" s="79">
        <v>35</v>
      </c>
      <c r="E47" s="80">
        <v>35</v>
      </c>
      <c r="F47" s="73">
        <v>35</v>
      </c>
      <c r="G47" s="81">
        <v>35</v>
      </c>
      <c r="H47" s="81">
        <v>35</v>
      </c>
      <c r="I47" s="81">
        <v>35</v>
      </c>
      <c r="J47" s="152">
        <f>SUMIFS(Cashbook!$G$7:$G$153,Cashbook!$I$7:$I$153,"Memberships",Cashbook!$J$7:$J$153,4)</f>
        <v>0</v>
      </c>
      <c r="K47" s="81"/>
      <c r="L47" s="83"/>
    </row>
    <row r="48" spans="1:12" x14ac:dyDescent="0.5">
      <c r="A48" s="78"/>
      <c r="B48" s="144">
        <v>5</v>
      </c>
      <c r="C48" s="158" t="s">
        <v>172</v>
      </c>
      <c r="D48" s="162"/>
      <c r="E48" s="163"/>
      <c r="F48" s="104"/>
      <c r="G48" s="105"/>
      <c r="H48" s="105"/>
      <c r="I48" s="105">
        <v>50</v>
      </c>
      <c r="J48" s="152">
        <f>SUMIFS(Cashbook!$G$7:$G$153,Cashbook!$I$7:$I$153,"Memberships",Cashbook!$J$7:$J$153,5)</f>
        <v>0</v>
      </c>
      <c r="K48" s="105"/>
      <c r="L48" s="83"/>
    </row>
    <row r="49" spans="1:12" x14ac:dyDescent="0.5">
      <c r="A49" s="78"/>
      <c r="B49" s="144">
        <v>6</v>
      </c>
      <c r="C49" s="158" t="s">
        <v>21</v>
      </c>
      <c r="D49" s="162">
        <v>35</v>
      </c>
      <c r="E49" s="163">
        <v>35</v>
      </c>
      <c r="F49" s="104">
        <v>35</v>
      </c>
      <c r="G49" s="105">
        <v>35</v>
      </c>
      <c r="H49" s="105">
        <v>35</v>
      </c>
      <c r="I49" s="105">
        <v>35</v>
      </c>
      <c r="J49" s="156">
        <f>SUMIFS(Cashbook!$G$7:$G$153,Cashbook!$I$7:$I$153,"Memberships",Cashbook!$J$7:$J$153,6)</f>
        <v>0</v>
      </c>
      <c r="K49" s="105"/>
      <c r="L49" s="83"/>
    </row>
    <row r="50" spans="1:12" ht="13.2" thickBot="1" x14ac:dyDescent="0.55000000000000004">
      <c r="A50" s="78"/>
      <c r="B50" s="144">
        <v>7</v>
      </c>
      <c r="C50" s="125" t="s">
        <v>47</v>
      </c>
      <c r="D50" s="85"/>
      <c r="E50" s="86"/>
      <c r="F50" s="87"/>
      <c r="G50" s="88"/>
      <c r="H50" s="88"/>
      <c r="I50" s="88"/>
      <c r="J50" s="153">
        <f>SUMIFS(Cashbook!$G$7:$G$153,Cashbook!$I$7:$I$153,"Memberships",Cashbook!$J$7:$J$153,7)</f>
        <v>0</v>
      </c>
      <c r="K50" s="88"/>
      <c r="L50" s="83"/>
    </row>
    <row r="51" spans="1:12" x14ac:dyDescent="0.5">
      <c r="A51" s="78"/>
      <c r="B51" s="144"/>
      <c r="C51" s="145" t="s">
        <v>88</v>
      </c>
      <c r="D51" s="102">
        <f>SUM(D44:D50)</f>
        <v>515</v>
      </c>
      <c r="E51" s="103">
        <f>SUM(E44:E50)</f>
        <v>495</v>
      </c>
      <c r="F51" s="103">
        <f>SUM(F44:F50)</f>
        <v>375</v>
      </c>
      <c r="G51" s="89">
        <f>SUM(G44:G50)</f>
        <v>570</v>
      </c>
      <c r="H51" s="89">
        <f>SUM(H44:H50)</f>
        <v>488</v>
      </c>
      <c r="I51" s="89">
        <v>550</v>
      </c>
      <c r="J51" s="154">
        <f t="shared" ref="J51:K51" si="2">SUM(J44:J50)</f>
        <v>84</v>
      </c>
      <c r="K51" s="89">
        <f t="shared" si="2"/>
        <v>0</v>
      </c>
      <c r="L51" s="90"/>
    </row>
    <row r="52" spans="1:12" x14ac:dyDescent="0.5">
      <c r="A52" s="78"/>
      <c r="B52" s="136"/>
      <c r="C52" s="127"/>
      <c r="D52" s="79"/>
      <c r="E52" s="80"/>
      <c r="F52" s="73"/>
      <c r="G52" s="81"/>
      <c r="H52" s="81"/>
      <c r="I52" s="81"/>
      <c r="J52" s="152"/>
      <c r="K52" s="81"/>
      <c r="L52" s="83"/>
    </row>
    <row r="53" spans="1:12" x14ac:dyDescent="0.5">
      <c r="A53" s="78"/>
      <c r="B53" s="148">
        <v>1</v>
      </c>
      <c r="C53" s="128" t="s">
        <v>25</v>
      </c>
      <c r="D53" s="79">
        <v>500</v>
      </c>
      <c r="E53" s="80">
        <v>450</v>
      </c>
      <c r="F53" s="73">
        <v>450</v>
      </c>
      <c r="G53" s="81">
        <v>450</v>
      </c>
      <c r="H53" s="81">
        <v>450</v>
      </c>
      <c r="I53" s="81">
        <v>450</v>
      </c>
      <c r="J53" s="152">
        <f>SUMIFS(Cashbook!$G$7:$G$153,Cashbook!$I$7:$I$153,"Audit and legal",Cashbook!$J$7:$J$153,1)</f>
        <v>435</v>
      </c>
      <c r="K53" s="81"/>
      <c r="L53" s="83"/>
    </row>
    <row r="54" spans="1:12" ht="13.2" thickBot="1" x14ac:dyDescent="0.55000000000000004">
      <c r="A54" s="78"/>
      <c r="B54" s="148">
        <v>2</v>
      </c>
      <c r="C54" s="130" t="s">
        <v>122</v>
      </c>
      <c r="D54" s="85">
        <v>200</v>
      </c>
      <c r="E54" s="86">
        <v>200</v>
      </c>
      <c r="F54" s="87">
        <v>200</v>
      </c>
      <c r="G54" s="88">
        <v>200</v>
      </c>
      <c r="H54" s="88">
        <v>200</v>
      </c>
      <c r="I54" s="88">
        <v>200</v>
      </c>
      <c r="J54" s="153">
        <f>SUMIFS(Cashbook!$G$7:$G$153,Cashbook!$I$7:$I$153,"Audit and legal",Cashbook!$J$7:$J$153,2)</f>
        <v>0</v>
      </c>
      <c r="K54" s="88"/>
      <c r="L54" s="83"/>
    </row>
    <row r="55" spans="1:12" x14ac:dyDescent="0.5">
      <c r="A55" s="78"/>
      <c r="B55" s="148"/>
      <c r="C55" s="149" t="s">
        <v>87</v>
      </c>
      <c r="D55" s="100">
        <f>SUM(D53:D54)</f>
        <v>700</v>
      </c>
      <c r="E55" s="100">
        <f t="shared" ref="E55:K55" si="3">SUM(E53:E54)</f>
        <v>650</v>
      </c>
      <c r="F55" s="100">
        <f t="shared" si="3"/>
        <v>650</v>
      </c>
      <c r="G55" s="100">
        <f t="shared" si="3"/>
        <v>650</v>
      </c>
      <c r="H55" s="100">
        <f t="shared" si="3"/>
        <v>650</v>
      </c>
      <c r="I55" s="100">
        <v>650</v>
      </c>
      <c r="J55" s="154">
        <f t="shared" si="3"/>
        <v>435</v>
      </c>
      <c r="K55" s="100">
        <f t="shared" si="3"/>
        <v>0</v>
      </c>
      <c r="L55" s="90"/>
    </row>
    <row r="56" spans="1:12" x14ac:dyDescent="0.5">
      <c r="A56" s="78"/>
      <c r="B56" s="136"/>
      <c r="C56" s="131" t="s">
        <v>192</v>
      </c>
      <c r="D56" s="182"/>
      <c r="E56" s="182"/>
      <c r="F56" s="183"/>
      <c r="G56" s="167"/>
      <c r="H56" s="167"/>
      <c r="I56" s="167"/>
      <c r="J56" s="156">
        <f>Cashbook!H154</f>
        <v>1163.0700000000004</v>
      </c>
      <c r="K56" s="105"/>
      <c r="L56" s="83"/>
    </row>
    <row r="57" spans="1:12" ht="13.2" thickBot="1" x14ac:dyDescent="0.55000000000000004">
      <c r="A57" s="78"/>
      <c r="B57" s="136"/>
      <c r="C57" s="132" t="s">
        <v>154</v>
      </c>
      <c r="D57" s="106">
        <f>SUM(D55,D51,D42,D28,D23,D10)</f>
        <v>27000</v>
      </c>
      <c r="E57" s="106">
        <f>SUM(E55,E51,E42,E28,E23,E10)</f>
        <v>36370</v>
      </c>
      <c r="F57" s="106">
        <f>SUM(F55,F51,F42,F28,F23,F10)</f>
        <v>37686</v>
      </c>
      <c r="G57" s="106">
        <f>SUM(G55,G51,G42,G28,G23,G10)</f>
        <v>34105</v>
      </c>
      <c r="H57" s="106">
        <f>SUM(H55,H51,H42,H28,H23,H10)</f>
        <v>61709.001499999998</v>
      </c>
      <c r="I57" s="106">
        <v>27785</v>
      </c>
      <c r="J57" s="157">
        <f>SUM(J55,J56,J51,J42,J28,J23,J10)</f>
        <v>16349.060000000001</v>
      </c>
      <c r="K57" s="106">
        <f>SUM(K55,K51,K42,K28,K23,K10)</f>
        <v>0</v>
      </c>
      <c r="L57" s="94"/>
    </row>
    <row r="58" spans="1:12" ht="13.2" thickTop="1" x14ac:dyDescent="0.5">
      <c r="A58" s="107" t="s">
        <v>5</v>
      </c>
      <c r="B58" s="137"/>
      <c r="C58" s="133"/>
      <c r="D58" s="108"/>
      <c r="E58" s="89"/>
      <c r="F58" s="109"/>
      <c r="G58" s="110"/>
      <c r="H58" s="110"/>
      <c r="I58" s="110"/>
      <c r="J58" s="165"/>
      <c r="K58" s="110"/>
      <c r="L58" s="83"/>
    </row>
    <row r="59" spans="1:12" x14ac:dyDescent="0.5">
      <c r="A59" s="78"/>
      <c r="B59" s="136"/>
      <c r="C59" s="134" t="s">
        <v>123</v>
      </c>
      <c r="D59" s="111" t="s">
        <v>124</v>
      </c>
      <c r="E59" s="112" t="s">
        <v>125</v>
      </c>
      <c r="F59" s="113" t="s">
        <v>126</v>
      </c>
      <c r="G59" s="114" t="s">
        <v>143</v>
      </c>
      <c r="H59" s="114" t="s">
        <v>144</v>
      </c>
      <c r="I59" s="114" t="s">
        <v>155</v>
      </c>
      <c r="J59" s="166"/>
      <c r="K59" s="114" t="s">
        <v>155</v>
      </c>
      <c r="L59" s="83"/>
    </row>
    <row r="60" spans="1:12" ht="25.8" x14ac:dyDescent="0.5">
      <c r="A60" s="78"/>
      <c r="B60" s="136"/>
      <c r="C60" s="128" t="s">
        <v>82</v>
      </c>
      <c r="D60" s="115"/>
      <c r="E60" s="116">
        <v>20000</v>
      </c>
      <c r="F60" s="73">
        <v>35000</v>
      </c>
      <c r="G60" s="81">
        <v>25000</v>
      </c>
      <c r="H60" s="81">
        <v>25000</v>
      </c>
      <c r="I60" s="81">
        <v>9000</v>
      </c>
      <c r="J60" s="152"/>
      <c r="K60" s="81"/>
      <c r="L60" s="83" t="s">
        <v>84</v>
      </c>
    </row>
    <row r="61" spans="1:12" x14ac:dyDescent="0.5">
      <c r="A61" s="78"/>
      <c r="B61" s="150">
        <v>1</v>
      </c>
      <c r="C61" s="128" t="s">
        <v>8</v>
      </c>
      <c r="D61" s="115"/>
      <c r="E61" s="116">
        <v>23795</v>
      </c>
      <c r="F61" s="73">
        <v>24393</v>
      </c>
      <c r="G61" s="81">
        <v>24710</v>
      </c>
      <c r="H61" s="81">
        <v>24710</v>
      </c>
      <c r="I61" s="81">
        <v>25451</v>
      </c>
      <c r="J61" s="152">
        <f>SUMIFS(Cashbook!$F$7:$F$153,Cashbook!$I$7:$I$153,"Receipts",Cashbook!$J$7:$J$153,1)</f>
        <v>26863</v>
      </c>
      <c r="K61" s="81"/>
      <c r="L61" s="83" t="s">
        <v>191</v>
      </c>
    </row>
    <row r="62" spans="1:12" x14ac:dyDescent="0.5">
      <c r="A62" s="78"/>
      <c r="B62" s="150">
        <v>2</v>
      </c>
      <c r="C62" s="128" t="s">
        <v>127</v>
      </c>
      <c r="D62" s="115"/>
      <c r="E62" s="116">
        <v>1134</v>
      </c>
      <c r="F62" s="73">
        <v>874</v>
      </c>
      <c r="G62" s="81">
        <v>874</v>
      </c>
      <c r="H62" s="81">
        <v>874</v>
      </c>
      <c r="I62" s="81">
        <v>217</v>
      </c>
      <c r="J62" s="152">
        <f>SUMIFS(Cashbook!$F$7:$F$153,Cashbook!$I$7:$I$153,"Receipts",Cashbook!$J$7:$J$153,2)</f>
        <v>0</v>
      </c>
      <c r="K62" s="81"/>
      <c r="L62" s="83"/>
    </row>
    <row r="63" spans="1:12" x14ac:dyDescent="0.5">
      <c r="A63" s="78"/>
      <c r="B63" s="150">
        <v>3</v>
      </c>
      <c r="C63" s="128" t="s">
        <v>46</v>
      </c>
      <c r="D63" s="115"/>
      <c r="E63" s="116">
        <v>30</v>
      </c>
      <c r="F63" s="73">
        <v>30</v>
      </c>
      <c r="G63" s="81">
        <v>30</v>
      </c>
      <c r="H63" s="81">
        <v>30</v>
      </c>
      <c r="I63" s="81">
        <v>30</v>
      </c>
      <c r="J63" s="152">
        <f>SUMIFS(Cashbook!$F$7:$F$153,Cashbook!$I$7:$I$153,"Receipts",Cashbook!$J$7:$J$153,3)</f>
        <v>3.61</v>
      </c>
      <c r="K63" s="81"/>
      <c r="L63" s="83"/>
    </row>
    <row r="64" spans="1:12" x14ac:dyDescent="0.5">
      <c r="A64" s="78"/>
      <c r="B64" s="150">
        <v>4</v>
      </c>
      <c r="C64" s="128" t="s">
        <v>83</v>
      </c>
      <c r="D64" s="115"/>
      <c r="E64" s="116">
        <v>134</v>
      </c>
      <c r="F64" s="73">
        <v>300</v>
      </c>
      <c r="G64" s="81">
        <v>3786.16</v>
      </c>
      <c r="H64" s="81">
        <v>850</v>
      </c>
      <c r="I64" s="81"/>
      <c r="J64" s="152">
        <f>SUMIFS(Cashbook!$F$7:$F$153,Cashbook!$I$7:$I$153,"Receipts",Cashbook!$J$7:$J$153,4)</f>
        <v>4646.1000000000004</v>
      </c>
      <c r="K64" s="81"/>
      <c r="L64" s="83"/>
    </row>
    <row r="65" spans="1:12" x14ac:dyDescent="0.5">
      <c r="A65" s="78"/>
      <c r="B65" s="150">
        <v>5</v>
      </c>
      <c r="C65" s="128" t="s">
        <v>168</v>
      </c>
      <c r="D65" s="175"/>
      <c r="E65" s="176"/>
      <c r="F65" s="104"/>
      <c r="G65" s="105"/>
      <c r="H65" s="105"/>
      <c r="I65" s="105"/>
      <c r="J65" s="156">
        <f>SUMIFS(Cashbook!$F$7:$F$153,Cashbook!$I$7:$I$153,"Receipts",Cashbook!$J$7:$J$153,5)</f>
        <v>320</v>
      </c>
      <c r="K65" s="105"/>
      <c r="L65" s="83"/>
    </row>
    <row r="66" spans="1:12" x14ac:dyDescent="0.5">
      <c r="A66" s="78"/>
      <c r="B66" s="150"/>
      <c r="C66" s="151" t="s">
        <v>178</v>
      </c>
      <c r="D66" s="178"/>
      <c r="E66" s="179">
        <f t="shared" ref="E66:J66" si="4">SUM(E60:E65)</f>
        <v>45093</v>
      </c>
      <c r="F66" s="179">
        <f t="shared" si="4"/>
        <v>60597</v>
      </c>
      <c r="G66" s="179">
        <f t="shared" si="4"/>
        <v>54400.160000000003</v>
      </c>
      <c r="H66" s="179">
        <f t="shared" si="4"/>
        <v>51464</v>
      </c>
      <c r="I66" s="179">
        <v>34668</v>
      </c>
      <c r="J66" s="180">
        <f t="shared" si="4"/>
        <v>31832.71</v>
      </c>
      <c r="K66" s="179">
        <f>SUM(K60:K65)</f>
        <v>0</v>
      </c>
      <c r="L66" s="83"/>
    </row>
    <row r="67" spans="1:12" x14ac:dyDescent="0.5">
      <c r="A67" s="78"/>
      <c r="B67" s="136"/>
      <c r="C67" s="127"/>
      <c r="D67" s="109"/>
      <c r="E67" s="177"/>
      <c r="F67" s="109"/>
      <c r="G67" s="110"/>
      <c r="H67" s="110"/>
      <c r="I67" s="110"/>
      <c r="J67" s="165"/>
      <c r="K67" s="110"/>
      <c r="L67" s="83"/>
    </row>
    <row r="68" spans="1:12" x14ac:dyDescent="0.5">
      <c r="A68" s="117" t="s">
        <v>26</v>
      </c>
      <c r="B68" s="138"/>
      <c r="C68" s="127"/>
      <c r="D68" s="73"/>
      <c r="E68" s="118"/>
      <c r="F68" s="73"/>
      <c r="G68" s="81"/>
      <c r="H68" s="81"/>
      <c r="I68" s="81"/>
      <c r="J68" s="152"/>
      <c r="K68" s="81"/>
      <c r="L68" s="83"/>
    </row>
    <row r="69" spans="1:12" ht="25.8" x14ac:dyDescent="0.5">
      <c r="A69" s="78"/>
      <c r="B69" s="136"/>
      <c r="C69" s="128" t="s">
        <v>86</v>
      </c>
      <c r="D69" s="115"/>
      <c r="E69" s="80">
        <v>18000</v>
      </c>
      <c r="F69" s="73">
        <v>20000</v>
      </c>
      <c r="G69" s="81">
        <v>20000</v>
      </c>
      <c r="H69" s="81">
        <v>22000</v>
      </c>
      <c r="I69" s="81">
        <v>22000</v>
      </c>
      <c r="J69" s="152">
        <f>Cashbook!F6</f>
        <v>2728.45</v>
      </c>
      <c r="K69" s="81"/>
      <c r="L69" s="83" t="s">
        <v>185</v>
      </c>
    </row>
    <row r="70" spans="1:12" x14ac:dyDescent="0.5">
      <c r="A70" s="78"/>
      <c r="B70" s="136"/>
      <c r="C70" s="124" t="s">
        <v>137</v>
      </c>
      <c r="D70" s="119"/>
      <c r="E70" s="118"/>
      <c r="F70" s="73"/>
      <c r="G70" s="81">
        <v>1827</v>
      </c>
      <c r="H70" s="105"/>
      <c r="I70" s="105"/>
      <c r="J70" s="156"/>
      <c r="K70" s="105"/>
      <c r="L70" s="83"/>
    </row>
    <row r="71" spans="1:12" x14ac:dyDescent="0.5">
      <c r="A71" s="78"/>
      <c r="B71" s="136"/>
      <c r="C71" s="120" t="s">
        <v>85</v>
      </c>
      <c r="D71" s="121"/>
      <c r="E71" s="169">
        <f t="shared" ref="E71:G71" si="5">SUM(E69:E70)</f>
        <v>18000</v>
      </c>
      <c r="F71" s="170">
        <f t="shared" si="5"/>
        <v>20000</v>
      </c>
      <c r="G71" s="171">
        <f t="shared" si="5"/>
        <v>21827</v>
      </c>
      <c r="H71" s="171">
        <f>SUM(H69:H70)</f>
        <v>22000</v>
      </c>
      <c r="I71" s="171">
        <v>22000</v>
      </c>
      <c r="J71" s="172">
        <f t="shared" ref="J71:K71" si="6">SUM(J69:J70)</f>
        <v>2728.45</v>
      </c>
      <c r="K71" s="171">
        <f t="shared" si="6"/>
        <v>0</v>
      </c>
      <c r="L71" s="122"/>
    </row>
    <row r="72" spans="1:12" ht="13.2" thickBot="1" x14ac:dyDescent="0.55000000000000004">
      <c r="B72" s="136"/>
      <c r="C72" s="68" t="s">
        <v>186</v>
      </c>
      <c r="D72" s="76"/>
      <c r="E72" s="173">
        <f t="shared" ref="E72:G72" si="7">SUM(E66)-E71</f>
        <v>27093</v>
      </c>
      <c r="F72" s="173">
        <f t="shared" si="7"/>
        <v>40597</v>
      </c>
      <c r="G72" s="173">
        <f t="shared" si="7"/>
        <v>32573.160000000003</v>
      </c>
      <c r="H72" s="173">
        <f t="shared" ref="H72:J72" si="8">SUM(H66)-H71</f>
        <v>29464</v>
      </c>
      <c r="I72" s="173">
        <v>12668</v>
      </c>
      <c r="J72" s="174">
        <f t="shared" si="8"/>
        <v>29104.26</v>
      </c>
      <c r="K72" s="173">
        <f>SUM(K66)-K71</f>
        <v>0</v>
      </c>
      <c r="L72" s="74" t="s">
        <v>187</v>
      </c>
    </row>
    <row r="73" spans="1:12" ht="13.2" thickTop="1" x14ac:dyDescent="0.5">
      <c r="B73" s="136"/>
      <c r="C73" s="68" t="s">
        <v>148</v>
      </c>
      <c r="E73" s="123">
        <f t="shared" ref="E73:G73" si="9">SUM(E72)-E57</f>
        <v>-9277</v>
      </c>
      <c r="F73" s="123">
        <f t="shared" si="9"/>
        <v>2911</v>
      </c>
      <c r="G73" s="123">
        <f t="shared" si="9"/>
        <v>-1531.8399999999965</v>
      </c>
      <c r="H73" s="123">
        <f>SUM(H72)-H57</f>
        <v>-32245.001499999998</v>
      </c>
      <c r="I73" s="123">
        <v>-15117</v>
      </c>
      <c r="J73" s="123">
        <f>SUM(J72)-J57</f>
        <v>12755.199999999997</v>
      </c>
      <c r="K73" s="123">
        <f>SUM(K72)-K57</f>
        <v>0</v>
      </c>
      <c r="L73" s="76" t="s">
        <v>188</v>
      </c>
    </row>
    <row r="74" spans="1:12" x14ac:dyDescent="0.5">
      <c r="C74" s="68" t="s">
        <v>189</v>
      </c>
      <c r="E74" s="181">
        <f t="shared" ref="E74:J74" si="10">SUM(E71,E73)</f>
        <v>8723</v>
      </c>
      <c r="F74" s="181">
        <f t="shared" si="10"/>
        <v>22911</v>
      </c>
      <c r="G74" s="181">
        <f t="shared" si="10"/>
        <v>20295.160000000003</v>
      </c>
      <c r="H74" s="181">
        <f t="shared" si="10"/>
        <v>-10245.001499999998</v>
      </c>
      <c r="I74" s="181">
        <v>6883</v>
      </c>
      <c r="J74" s="181">
        <f t="shared" si="10"/>
        <v>15483.649999999998</v>
      </c>
      <c r="K74" s="181">
        <f>SUM(K71,K73)</f>
        <v>0</v>
      </c>
      <c r="L74" s="76" t="s">
        <v>190</v>
      </c>
    </row>
  </sheetData>
  <printOptions headings="1"/>
  <pageMargins left="0.31496062992125984" right="0.31496062992125984" top="0.15748031496062992" bottom="0.19685039370078741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3" zoomScale="150" zoomScaleNormal="150" workbookViewId="0">
      <selection sqref="A1:E35"/>
    </sheetView>
  </sheetViews>
  <sheetFormatPr defaultColWidth="8.83203125" defaultRowHeight="12.3" x14ac:dyDescent="0.4"/>
  <cols>
    <col min="1" max="1" width="38.27734375" style="3" customWidth="1"/>
    <col min="2" max="2" width="15.27734375" customWidth="1"/>
    <col min="3" max="3" width="14.83203125" style="1" customWidth="1"/>
    <col min="4" max="4" width="16.27734375" customWidth="1"/>
    <col min="5" max="5" width="15.83203125" customWidth="1"/>
  </cols>
  <sheetData>
    <row r="1" spans="1:5" x14ac:dyDescent="0.4">
      <c r="A1" s="2" t="s">
        <v>3</v>
      </c>
      <c r="B1" s="4"/>
    </row>
    <row r="2" spans="1:5" x14ac:dyDescent="0.4">
      <c r="A2" s="2"/>
      <c r="B2" s="4"/>
    </row>
    <row r="3" spans="1:5" x14ac:dyDescent="0.4">
      <c r="A3" s="2" t="s">
        <v>1</v>
      </c>
      <c r="B3" s="4"/>
    </row>
    <row r="5" spans="1:5" ht="24.6" x14ac:dyDescent="0.4">
      <c r="A5" s="19" t="s">
        <v>43</v>
      </c>
      <c r="B5" s="10" t="s">
        <v>61</v>
      </c>
      <c r="C5" s="10" t="s">
        <v>108</v>
      </c>
      <c r="D5" s="10" t="s">
        <v>109</v>
      </c>
      <c r="E5" s="10" t="s">
        <v>110</v>
      </c>
    </row>
    <row r="7" spans="1:5" x14ac:dyDescent="0.4">
      <c r="A7" s="8" t="s">
        <v>62</v>
      </c>
      <c r="B7" s="13">
        <v>1</v>
      </c>
      <c r="C7" s="13">
        <v>1</v>
      </c>
      <c r="D7" s="13">
        <v>1</v>
      </c>
      <c r="E7" s="13">
        <v>1</v>
      </c>
    </row>
    <row r="8" spans="1:5" x14ac:dyDescent="0.4">
      <c r="A8" s="8" t="s">
        <v>63</v>
      </c>
      <c r="B8" s="13">
        <v>1</v>
      </c>
      <c r="C8" s="13">
        <v>1</v>
      </c>
      <c r="D8" s="13">
        <v>1</v>
      </c>
      <c r="E8" s="13">
        <v>1</v>
      </c>
    </row>
    <row r="9" spans="1:5" x14ac:dyDescent="0.4">
      <c r="A9" s="8" t="s">
        <v>64</v>
      </c>
      <c r="B9" s="13">
        <v>1</v>
      </c>
      <c r="C9" s="13">
        <v>1</v>
      </c>
      <c r="D9" s="13">
        <v>1</v>
      </c>
      <c r="E9" s="13">
        <v>1</v>
      </c>
    </row>
    <row r="10" spans="1:5" x14ac:dyDescent="0.4">
      <c r="A10" s="8" t="s">
        <v>65</v>
      </c>
      <c r="B10" s="13">
        <v>1</v>
      </c>
      <c r="C10" s="13">
        <v>1</v>
      </c>
      <c r="D10" s="13">
        <v>1</v>
      </c>
      <c r="E10" s="13">
        <v>1</v>
      </c>
    </row>
    <row r="11" spans="1:5" x14ac:dyDescent="0.4">
      <c r="A11"/>
      <c r="C11"/>
    </row>
    <row r="12" spans="1:5" x14ac:dyDescent="0.4">
      <c r="A12" s="8" t="s">
        <v>67</v>
      </c>
      <c r="B12" s="13">
        <v>705</v>
      </c>
      <c r="C12" s="13">
        <v>705</v>
      </c>
      <c r="D12" s="13">
        <v>705</v>
      </c>
      <c r="E12" s="13">
        <v>705</v>
      </c>
    </row>
    <row r="13" spans="1:5" x14ac:dyDescent="0.4">
      <c r="A13" s="8"/>
      <c r="B13" s="13"/>
      <c r="C13" s="13"/>
      <c r="D13" s="13"/>
      <c r="E13" s="13"/>
    </row>
    <row r="14" spans="1:5" ht="32.1" customHeight="1" x14ac:dyDescent="0.4">
      <c r="A14" s="17" t="s">
        <v>68</v>
      </c>
      <c r="B14" s="18">
        <v>925</v>
      </c>
      <c r="C14" s="18">
        <v>925</v>
      </c>
      <c r="D14" s="18">
        <v>925</v>
      </c>
      <c r="E14" s="18">
        <v>925</v>
      </c>
    </row>
    <row r="15" spans="1:5" ht="23.4" x14ac:dyDescent="0.4">
      <c r="A15" s="17" t="s">
        <v>69</v>
      </c>
      <c r="B15" s="18">
        <v>150</v>
      </c>
      <c r="C15" s="18">
        <v>150</v>
      </c>
      <c r="D15" s="18">
        <v>150</v>
      </c>
      <c r="E15" s="18">
        <v>150</v>
      </c>
    </row>
    <row r="16" spans="1:5" x14ac:dyDescent="0.4">
      <c r="A16" s="8" t="s">
        <v>70</v>
      </c>
      <c r="B16" s="13">
        <v>395</v>
      </c>
      <c r="C16" s="13">
        <v>395</v>
      </c>
      <c r="D16" s="13">
        <v>395</v>
      </c>
      <c r="E16" s="13">
        <v>395</v>
      </c>
    </row>
    <row r="17" spans="1:5" x14ac:dyDescent="0.4">
      <c r="A17" s="8" t="s">
        <v>103</v>
      </c>
      <c r="B17" s="13"/>
      <c r="C17" s="13">
        <v>200</v>
      </c>
      <c r="D17" s="13">
        <v>200</v>
      </c>
      <c r="E17" s="13">
        <v>200</v>
      </c>
    </row>
    <row r="18" spans="1:5" x14ac:dyDescent="0.4">
      <c r="A18" s="8" t="s">
        <v>104</v>
      </c>
      <c r="B18" s="13"/>
      <c r="C18" s="13"/>
      <c r="D18" s="13">
        <v>205</v>
      </c>
      <c r="E18" s="13">
        <v>205</v>
      </c>
    </row>
    <row r="19" spans="1:5" ht="17.100000000000001" customHeight="1" x14ac:dyDescent="0.4">
      <c r="A19" s="17" t="s">
        <v>71</v>
      </c>
      <c r="B19" s="18">
        <v>6560</v>
      </c>
      <c r="C19" s="18">
        <v>6560</v>
      </c>
      <c r="D19" s="18">
        <v>6560</v>
      </c>
      <c r="E19" s="18">
        <v>6560</v>
      </c>
    </row>
    <row r="20" spans="1:5" x14ac:dyDescent="0.4">
      <c r="A20" s="8"/>
      <c r="B20" s="13"/>
      <c r="C20" s="13"/>
      <c r="D20" s="13"/>
      <c r="E20" s="13"/>
    </row>
    <row r="21" spans="1:5" x14ac:dyDescent="0.4">
      <c r="A21" s="8" t="s">
        <v>72</v>
      </c>
      <c r="B21" s="13"/>
      <c r="C21" s="13"/>
      <c r="D21" s="13"/>
      <c r="E21" s="13"/>
    </row>
    <row r="22" spans="1:5" x14ac:dyDescent="0.4">
      <c r="A22" s="8" t="s">
        <v>73</v>
      </c>
      <c r="B22" s="13">
        <v>2</v>
      </c>
      <c r="C22" s="13">
        <v>2</v>
      </c>
      <c r="D22" s="13">
        <v>2</v>
      </c>
      <c r="E22" s="13">
        <v>2</v>
      </c>
    </row>
    <row r="23" spans="1:5" x14ac:dyDescent="0.4">
      <c r="A23" s="8" t="s">
        <v>74</v>
      </c>
      <c r="B23" s="13">
        <v>0</v>
      </c>
      <c r="C23" s="13">
        <v>0</v>
      </c>
      <c r="D23" s="13">
        <v>0</v>
      </c>
      <c r="E23" s="13">
        <v>0</v>
      </c>
    </row>
    <row r="24" spans="1:5" ht="23.4" x14ac:dyDescent="0.4">
      <c r="A24" s="9" t="s">
        <v>75</v>
      </c>
      <c r="B24" s="13">
        <v>1353</v>
      </c>
      <c r="C24" s="13">
        <v>1353</v>
      </c>
      <c r="D24" s="13">
        <v>1353</v>
      </c>
      <c r="E24" s="13">
        <v>1353</v>
      </c>
    </row>
    <row r="25" spans="1:5" x14ac:dyDescent="0.4">
      <c r="A25" s="8" t="s">
        <v>76</v>
      </c>
      <c r="B25" s="13">
        <v>938</v>
      </c>
      <c r="C25" s="13">
        <v>938</v>
      </c>
      <c r="D25" s="13">
        <v>938</v>
      </c>
      <c r="E25" s="13">
        <v>938</v>
      </c>
    </row>
    <row r="26" spans="1:5" x14ac:dyDescent="0.4">
      <c r="A26" s="8" t="s">
        <v>77</v>
      </c>
      <c r="B26" s="13">
        <v>185</v>
      </c>
      <c r="C26" s="13">
        <v>185</v>
      </c>
      <c r="D26" s="13">
        <v>185</v>
      </c>
      <c r="E26" s="13">
        <v>185</v>
      </c>
    </row>
    <row r="27" spans="1:5" x14ac:dyDescent="0.4">
      <c r="A27" s="8" t="s">
        <v>105</v>
      </c>
      <c r="B27" s="13"/>
      <c r="C27" s="13">
        <v>2020</v>
      </c>
      <c r="D27" s="13">
        <v>2020</v>
      </c>
      <c r="E27" s="13">
        <v>2020</v>
      </c>
    </row>
    <row r="28" spans="1:5" x14ac:dyDescent="0.4">
      <c r="A28" s="8" t="s">
        <v>79</v>
      </c>
      <c r="B28" s="13"/>
      <c r="C28" s="14">
        <v>0</v>
      </c>
      <c r="D28" s="14">
        <v>0</v>
      </c>
      <c r="E28" s="14">
        <v>0</v>
      </c>
    </row>
    <row r="29" spans="1:5" x14ac:dyDescent="0.4">
      <c r="A29" s="8" t="s">
        <v>106</v>
      </c>
      <c r="B29" s="13"/>
      <c r="C29" s="14"/>
      <c r="D29" s="14"/>
      <c r="E29" s="14">
        <v>552</v>
      </c>
    </row>
    <row r="30" spans="1:5" x14ac:dyDescent="0.4">
      <c r="A30" s="8" t="s">
        <v>107</v>
      </c>
      <c r="B30" s="13"/>
      <c r="C30" s="14"/>
      <c r="D30" s="14"/>
      <c r="E30" s="14">
        <v>225</v>
      </c>
    </row>
    <row r="31" spans="1:5" x14ac:dyDescent="0.4">
      <c r="A31" s="8"/>
      <c r="B31" s="8"/>
      <c r="C31" s="8"/>
      <c r="D31" s="8"/>
      <c r="E31" s="8"/>
    </row>
    <row r="32" spans="1:5" ht="12.6" thickBot="1" x14ac:dyDescent="0.45">
      <c r="A32" s="8"/>
      <c r="B32" s="15">
        <f>SUM(B7:B26)</f>
        <v>11217</v>
      </c>
      <c r="C32" s="15">
        <f>SUM(C7:C27)</f>
        <v>13437</v>
      </c>
      <c r="D32" s="15">
        <f>SUM(D7:D27)</f>
        <v>13642</v>
      </c>
      <c r="E32" s="15">
        <f>SUM(E7:E30)</f>
        <v>14419</v>
      </c>
    </row>
    <row r="33" spans="1:5" ht="12.6" thickTop="1" x14ac:dyDescent="0.4">
      <c r="A33" s="8"/>
      <c r="B33" s="8"/>
      <c r="C33" s="8"/>
      <c r="D33" s="8"/>
      <c r="E33" s="8"/>
    </row>
    <row r="34" spans="1:5" x14ac:dyDescent="0.4">
      <c r="A34" s="8" t="s">
        <v>66</v>
      </c>
      <c r="B34" s="13">
        <v>355338</v>
      </c>
      <c r="C34" s="13">
        <v>355339</v>
      </c>
      <c r="D34" s="13">
        <v>355339</v>
      </c>
      <c r="E34" s="13">
        <v>355339</v>
      </c>
    </row>
    <row r="35" spans="1:5" ht="12.6" x14ac:dyDescent="0.4">
      <c r="A35" s="8"/>
      <c r="B35" s="8"/>
      <c r="C35" s="16"/>
      <c r="D35" s="16"/>
      <c r="E35" s="16"/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Report</vt:lpstr>
      <vt:lpstr>Cashbook</vt:lpstr>
      <vt:lpstr>Budget</vt:lpstr>
      <vt:lpstr>PC Assets</vt:lpstr>
      <vt:lpstr>Budget_Lines</vt:lpstr>
      <vt:lpstr>Budget!Print_Area</vt:lpstr>
      <vt:lpstr>Cashbook!Print_Area</vt:lpstr>
      <vt:lpstr>Report!Print_Area</vt:lpstr>
      <vt:lpstr>Cashbook!Print_Titles</vt:lpstr>
      <vt:lpstr>Sub_categories</vt:lpstr>
    </vt:vector>
  </TitlesOfParts>
  <Company>Slater4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Slater</dc:creator>
  <cp:lastModifiedBy>Tony</cp:lastModifiedBy>
  <cp:lastPrinted>2018-09-19T14:29:20Z</cp:lastPrinted>
  <dcterms:created xsi:type="dcterms:W3CDTF">2010-10-31T11:29:21Z</dcterms:created>
  <dcterms:modified xsi:type="dcterms:W3CDTF">2018-11-14T19:44:32Z</dcterms:modified>
</cp:coreProperties>
</file>